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19\ФІНПЛАН 2019\"/>
    </mc:Choice>
  </mc:AlternateContent>
  <bookViews>
    <workbookView xWindow="-105" yWindow="-105" windowWidth="23250" windowHeight="12570" tabRatio="838" firstSheet="2" activeTab="11"/>
  </bookViews>
  <sheets>
    <sheet name="Осн. фін. пок." sheetId="14" r:id="rId1"/>
    <sheet name="I. Фін результат" sheetId="20" r:id="rId2"/>
    <sheet name="Розшифровка 1" sheetId="24" r:id="rId3"/>
    <sheet name="Розшифровка 2" sheetId="23" r:id="rId4"/>
    <sheet name="ІІ. Розр. з бюджетом" sheetId="19" r:id="rId5"/>
    <sheet name="ІІІ. Рух грош. коштів" sheetId="18" r:id="rId6"/>
    <sheet name="Розшифровка №3" sheetId="22" r:id="rId7"/>
    <sheet name="IV. Кап. інвестиції" sheetId="3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4">'ІІ. Розр. з бюджетом'!$4:$6</definedName>
    <definedName name="_xlnm.Print_Titles" localSheetId="5">'ІІІ. Рух грош. коштів'!$4:$6</definedName>
    <definedName name="_xlnm.Print_Titles" localSheetId="0">'Осн. фін. пок.'!$48:$50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Коефіцієнти'!$A$1:$H$25</definedName>
    <definedName name="_xlnm.Print_Area" localSheetId="9">'6.1. Інша інфо_1'!$A$1:$O$66</definedName>
    <definedName name="_xlnm.Print_Area" localSheetId="10">'6.2. Інша інфо_2'!$A$1:$AE$88</definedName>
    <definedName name="_xlnm.Print_Area" localSheetId="1">'I. Фін результат'!$A$1:$K$102</definedName>
    <definedName name="_xlnm.Print_Area" localSheetId="7">'IV. Кап. інвестиції'!$A$1:$J$18</definedName>
    <definedName name="_xlnm.Print_Area" localSheetId="11">'VII Статутн капіт'!$A$1:$J$26</definedName>
    <definedName name="_xlnm.Print_Area" localSheetId="4">'ІІ. Розр. з бюджетом'!$A$1:$J$45</definedName>
    <definedName name="_xlnm.Print_Area" localSheetId="5">'ІІІ. Рух грош. коштів'!$A$1:$J$72</definedName>
    <definedName name="_xlnm.Print_Area" localSheetId="0">'Осн. фін. пок.'!$A$1:$J$147</definedName>
    <definedName name="_xlnm.Print_Area" localSheetId="2">'Розшифровка 1'!$A$1:$K$86</definedName>
    <definedName name="_xlnm.Print_Area" localSheetId="3">'Розшифровка 2'!$A$1:$I$165</definedName>
    <definedName name="_xlnm.Print_Area" localSheetId="6">'Розшифровка №3'!$A$1:$J$56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20" l="1"/>
  <c r="G11" i="24"/>
  <c r="J41" i="20" l="1"/>
  <c r="J22" i="24"/>
  <c r="H41" i="20"/>
  <c r="G41" i="20"/>
  <c r="J53" i="20"/>
  <c r="H53" i="20"/>
  <c r="G14" i="22"/>
  <c r="J12" i="22"/>
  <c r="H12" i="22"/>
  <c r="D102" i="23"/>
  <c r="D103" i="23"/>
  <c r="F124" i="23"/>
  <c r="G124" i="23"/>
  <c r="H124" i="23"/>
  <c r="E124" i="23"/>
  <c r="D137" i="23"/>
  <c r="H20" i="24"/>
  <c r="G20" i="24"/>
  <c r="J11" i="24"/>
  <c r="H11" i="24"/>
  <c r="F55" i="24"/>
  <c r="G13" i="24"/>
  <c r="F16" i="22"/>
  <c r="J9" i="20"/>
  <c r="J18" i="20"/>
  <c r="J50" i="20"/>
  <c r="I14" i="20"/>
  <c r="I13" i="20"/>
  <c r="H151" i="23"/>
  <c r="F151" i="23"/>
  <c r="H77" i="23"/>
  <c r="F77" i="23"/>
  <c r="F76" i="23" s="1"/>
  <c r="G77" i="23"/>
  <c r="H32" i="23"/>
  <c r="G32" i="23"/>
  <c r="E104" i="23"/>
  <c r="F65" i="24"/>
  <c r="G104" i="23"/>
  <c r="H104" i="23"/>
  <c r="D105" i="23"/>
  <c r="D101" i="23"/>
  <c r="D100" i="23"/>
  <c r="D99" i="23"/>
  <c r="D98" i="23"/>
  <c r="G88" i="23"/>
  <c r="F88" i="23"/>
  <c r="H87" i="23"/>
  <c r="G87" i="23"/>
  <c r="E77" i="23"/>
  <c r="E76" i="23" s="1"/>
  <c r="F157" i="23"/>
  <c r="F156" i="23" s="1"/>
  <c r="G157" i="23"/>
  <c r="G156" i="23" s="1"/>
  <c r="H157" i="23"/>
  <c r="H156" i="23" s="1"/>
  <c r="E157" i="23"/>
  <c r="D159" i="23"/>
  <c r="D112" i="23"/>
  <c r="F111" i="23"/>
  <c r="F110" i="23" s="1"/>
  <c r="F109" i="23" s="1"/>
  <c r="G111" i="23"/>
  <c r="G110" i="23" s="1"/>
  <c r="G109" i="23" s="1"/>
  <c r="H111" i="23"/>
  <c r="H110" i="23" s="1"/>
  <c r="H109" i="23" s="1"/>
  <c r="E111" i="23"/>
  <c r="D158" i="23"/>
  <c r="G24" i="23"/>
  <c r="H28" i="23"/>
  <c r="H45" i="23"/>
  <c r="H44" i="23"/>
  <c r="H43" i="23"/>
  <c r="H42" i="23"/>
  <c r="G45" i="23"/>
  <c r="G44" i="23"/>
  <c r="G43" i="23"/>
  <c r="G42" i="23"/>
  <c r="H29" i="23"/>
  <c r="G29" i="23"/>
  <c r="G28" i="23"/>
  <c r="H24" i="23"/>
  <c r="H23" i="23"/>
  <c r="G23" i="23"/>
  <c r="F29" i="23"/>
  <c r="F28" i="23"/>
  <c r="H28" i="20"/>
  <c r="H27" i="20"/>
  <c r="G28" i="20"/>
  <c r="G27" i="20"/>
  <c r="E29" i="23"/>
  <c r="E28" i="23"/>
  <c r="E22" i="23"/>
  <c r="F12" i="24"/>
  <c r="G25" i="23" l="1"/>
  <c r="D157" i="23"/>
  <c r="D111" i="23"/>
  <c r="E110" i="23"/>
  <c r="E156" i="23"/>
  <c r="D156" i="23" s="1"/>
  <c r="E25" i="23"/>
  <c r="F25" i="23"/>
  <c r="H25" i="23"/>
  <c r="D110" i="23" l="1"/>
  <c r="E109" i="23"/>
  <c r="D109" i="23" s="1"/>
  <c r="I10" i="22" l="1"/>
  <c r="J10" i="22"/>
  <c r="H10" i="22"/>
  <c r="G10" i="22"/>
  <c r="H12" i="3" l="1"/>
  <c r="I12" i="18"/>
  <c r="G27" i="22"/>
  <c r="H27" i="22"/>
  <c r="I27" i="22"/>
  <c r="J27" i="22"/>
  <c r="J10" i="3"/>
  <c r="H10" i="3"/>
  <c r="F28" i="22"/>
  <c r="F27" i="22" s="1"/>
  <c r="J12" i="18"/>
  <c r="H12" i="18"/>
  <c r="G12" i="18"/>
  <c r="H16" i="24" l="1"/>
  <c r="I16" i="24"/>
  <c r="J16" i="24"/>
  <c r="G16" i="24"/>
  <c r="F138" i="23" l="1"/>
  <c r="G138" i="23"/>
  <c r="H138" i="23"/>
  <c r="E138" i="23"/>
  <c r="F64" i="23"/>
  <c r="G64" i="23"/>
  <c r="E64" i="23"/>
  <c r="E41" i="23"/>
  <c r="F18" i="23"/>
  <c r="G18" i="23"/>
  <c r="H18" i="23"/>
  <c r="E18" i="23"/>
  <c r="J20" i="18" l="1"/>
  <c r="J9" i="24" l="1"/>
  <c r="F31" i="22" l="1"/>
  <c r="J94" i="20"/>
  <c r="J92" i="20" s="1"/>
  <c r="J99" i="20" s="1"/>
  <c r="I94" i="20"/>
  <c r="I92" i="20" s="1"/>
  <c r="I99" i="20" s="1"/>
  <c r="H94" i="20"/>
  <c r="H92" i="20" s="1"/>
  <c r="H99" i="20" s="1"/>
  <c r="D62" i="23"/>
  <c r="I10" i="24"/>
  <c r="I9" i="24"/>
  <c r="I8" i="24" s="1"/>
  <c r="H9" i="24"/>
  <c r="H8" i="24" s="1"/>
  <c r="F30" i="23"/>
  <c r="E30" i="23"/>
  <c r="E21" i="23" s="1"/>
  <c r="D40" i="23"/>
  <c r="F53" i="24"/>
  <c r="F54" i="24"/>
  <c r="I21" i="18" l="1"/>
  <c r="I20" i="22"/>
  <c r="F110" i="14" l="1"/>
  <c r="J13" i="3" l="1"/>
  <c r="P66" i="9"/>
  <c r="AD60" i="9"/>
  <c r="AD61" i="9"/>
  <c r="AD62" i="9"/>
  <c r="AD63" i="9"/>
  <c r="AD64" i="9"/>
  <c r="AD65" i="9"/>
  <c r="AD59" i="9"/>
  <c r="AE63" i="9"/>
  <c r="H79" i="23"/>
  <c r="H76" i="23" s="1"/>
  <c r="H55" i="23"/>
  <c r="H30" i="23"/>
  <c r="F11" i="23"/>
  <c r="F10" i="23" s="1"/>
  <c r="G11" i="23"/>
  <c r="G10" i="23" s="1"/>
  <c r="E11" i="23"/>
  <c r="E10" i="23" s="1"/>
  <c r="G19" i="20"/>
  <c r="G9" i="20"/>
  <c r="J78" i="24"/>
  <c r="J77" i="24"/>
  <c r="J66" i="24"/>
  <c r="I51" i="24"/>
  <c r="I77" i="24"/>
  <c r="G96" i="23"/>
  <c r="G76" i="23" s="1"/>
  <c r="N41" i="9" l="1"/>
  <c r="N42" i="9" s="1"/>
  <c r="O41" i="9"/>
  <c r="O42" i="9" s="1"/>
  <c r="P41" i="9"/>
  <c r="P42" i="9" s="1"/>
  <c r="M41" i="9"/>
  <c r="M42" i="9" s="1"/>
  <c r="F107" i="23" l="1"/>
  <c r="F104" i="23" s="1"/>
  <c r="H66" i="24"/>
  <c r="H77" i="24"/>
  <c r="AE65" i="9" l="1"/>
  <c r="AC65" i="9"/>
  <c r="AB65" i="9"/>
  <c r="AA65" i="9" l="1"/>
  <c r="O36" i="10"/>
  <c r="G94" i="20"/>
  <c r="G92" i="20" s="1"/>
  <c r="G99" i="20" s="1"/>
  <c r="I19" i="22" l="1"/>
  <c r="I31" i="18"/>
  <c r="I9" i="22"/>
  <c r="I8" i="22" s="1"/>
  <c r="G18" i="18"/>
  <c r="G26" i="18"/>
  <c r="H9" i="22"/>
  <c r="H8" i="22" s="1"/>
  <c r="J9" i="22"/>
  <c r="J8" i="22" s="1"/>
  <c r="G9" i="22"/>
  <c r="H49" i="23"/>
  <c r="H41" i="23" s="1"/>
  <c r="H71" i="23"/>
  <c r="H64" i="23" s="1"/>
  <c r="J79" i="24"/>
  <c r="J24" i="24"/>
  <c r="J81" i="24"/>
  <c r="J9" i="3"/>
  <c r="J20" i="22"/>
  <c r="J25" i="22"/>
  <c r="J32" i="22"/>
  <c r="J25" i="10" l="1"/>
  <c r="J52" i="24" l="1"/>
  <c r="J26" i="18"/>
  <c r="I54" i="20"/>
  <c r="I9" i="20"/>
  <c r="I18" i="20" s="1"/>
  <c r="H54" i="20"/>
  <c r="H9" i="20"/>
  <c r="H18" i="20" s="1"/>
  <c r="G18" i="20"/>
  <c r="H11" i="22"/>
  <c r="D44" i="23"/>
  <c r="D45" i="23"/>
  <c r="G58" i="24"/>
  <c r="F61" i="24"/>
  <c r="F62" i="24"/>
  <c r="F9" i="20" l="1"/>
  <c r="U41" i="9" l="1"/>
  <c r="AB40" i="9"/>
  <c r="AC40" i="9"/>
  <c r="AD40" i="9"/>
  <c r="AE40" i="9"/>
  <c r="Q40" i="9"/>
  <c r="L40" i="9"/>
  <c r="P67" i="9"/>
  <c r="S66" i="9"/>
  <c r="L34" i="9"/>
  <c r="L35" i="9"/>
  <c r="AA40" i="9" l="1"/>
  <c r="U66" i="9"/>
  <c r="U67" i="9" s="1"/>
  <c r="I7" i="3"/>
  <c r="F12" i="3"/>
  <c r="F13" i="3"/>
  <c r="F9" i="3"/>
  <c r="F10" i="3"/>
  <c r="T41" i="9"/>
  <c r="AE64" i="9"/>
  <c r="AC64" i="9"/>
  <c r="AB64" i="9"/>
  <c r="V64" i="9"/>
  <c r="Q64" i="9"/>
  <c r="L64" i="9"/>
  <c r="AC63" i="9"/>
  <c r="AB63" i="9"/>
  <c r="V63" i="9"/>
  <c r="Q63" i="9"/>
  <c r="L63" i="9"/>
  <c r="AE62" i="9"/>
  <c r="AC62" i="9"/>
  <c r="AB62" i="9"/>
  <c r="V62" i="9"/>
  <c r="Q62" i="9"/>
  <c r="L62" i="9"/>
  <c r="AE61" i="9"/>
  <c r="AC61" i="9"/>
  <c r="AB61" i="9"/>
  <c r="V61" i="9"/>
  <c r="Q61" i="9"/>
  <c r="L61" i="9"/>
  <c r="AE60" i="9"/>
  <c r="AC60" i="9"/>
  <c r="AB60" i="9"/>
  <c r="V60" i="9"/>
  <c r="Q60" i="9"/>
  <c r="L60" i="9"/>
  <c r="AE59" i="9"/>
  <c r="AC59" i="9"/>
  <c r="AB59" i="9"/>
  <c r="V59" i="9"/>
  <c r="Q59" i="9"/>
  <c r="L59" i="9"/>
  <c r="AE58" i="9"/>
  <c r="AD58" i="9"/>
  <c r="AC58" i="9"/>
  <c r="AB58" i="9"/>
  <c r="V58" i="9"/>
  <c r="Q58" i="9"/>
  <c r="L58" i="9"/>
  <c r="AE57" i="9"/>
  <c r="AD57" i="9"/>
  <c r="AC57" i="9"/>
  <c r="AB57" i="9"/>
  <c r="V57" i="9"/>
  <c r="Q57" i="9"/>
  <c r="L57" i="9"/>
  <c r="AE56" i="9"/>
  <c r="AD56" i="9"/>
  <c r="AC56" i="9"/>
  <c r="AB56" i="9"/>
  <c r="V56" i="9"/>
  <c r="Q56" i="9"/>
  <c r="L56" i="9"/>
  <c r="AE55" i="9"/>
  <c r="AD55" i="9"/>
  <c r="AC55" i="9"/>
  <c r="AB55" i="9"/>
  <c r="V55" i="9"/>
  <c r="Q55" i="9"/>
  <c r="L55" i="9"/>
  <c r="AE54" i="9"/>
  <c r="AD54" i="9"/>
  <c r="AC54" i="9"/>
  <c r="AB54" i="9"/>
  <c r="V54" i="9"/>
  <c r="Q54" i="9"/>
  <c r="L54" i="9"/>
  <c r="AE53" i="9"/>
  <c r="AD53" i="9"/>
  <c r="AC53" i="9"/>
  <c r="AB53" i="9"/>
  <c r="V53" i="9"/>
  <c r="Q53" i="9"/>
  <c r="L53" i="9"/>
  <c r="AE52" i="9"/>
  <c r="AD52" i="9"/>
  <c r="AC52" i="9"/>
  <c r="AB52" i="9"/>
  <c r="V52" i="9"/>
  <c r="Q52" i="9"/>
  <c r="L52" i="9"/>
  <c r="AE51" i="9"/>
  <c r="AD51" i="9"/>
  <c r="AC51" i="9"/>
  <c r="AB51" i="9"/>
  <c r="V51" i="9"/>
  <c r="Q51" i="9"/>
  <c r="L51" i="9"/>
  <c r="AE50" i="9"/>
  <c r="AD50" i="9"/>
  <c r="AC50" i="9"/>
  <c r="AB50" i="9"/>
  <c r="V50" i="9"/>
  <c r="Q50" i="9"/>
  <c r="L50" i="9"/>
  <c r="AE49" i="9"/>
  <c r="AD49" i="9"/>
  <c r="AC49" i="9"/>
  <c r="AB49" i="9"/>
  <c r="V49" i="9"/>
  <c r="Q49" i="9"/>
  <c r="L49" i="9"/>
  <c r="AE48" i="9"/>
  <c r="AD48" i="9"/>
  <c r="AC48" i="9"/>
  <c r="AB48" i="9"/>
  <c r="V48" i="9"/>
  <c r="Q48" i="9"/>
  <c r="L48" i="9"/>
  <c r="AE47" i="9"/>
  <c r="AD47" i="9"/>
  <c r="AC47" i="9"/>
  <c r="AB47" i="9"/>
  <c r="V47" i="9"/>
  <c r="Q47" i="9"/>
  <c r="L47" i="9"/>
  <c r="AE46" i="9"/>
  <c r="AD46" i="9"/>
  <c r="AC46" i="9"/>
  <c r="AB46" i="9"/>
  <c r="V46" i="9"/>
  <c r="Q46" i="9"/>
  <c r="L46" i="9"/>
  <c r="AE45" i="9"/>
  <c r="AD45" i="9"/>
  <c r="AC45" i="9"/>
  <c r="AB45" i="9"/>
  <c r="V45" i="9"/>
  <c r="Q45" i="9"/>
  <c r="L45" i="9"/>
  <c r="AE44" i="9"/>
  <c r="AD44" i="9"/>
  <c r="AC44" i="9"/>
  <c r="AB44" i="9"/>
  <c r="V44" i="9"/>
  <c r="Q44" i="9"/>
  <c r="L44" i="9"/>
  <c r="AA63" i="9" l="1"/>
  <c r="AA45" i="9"/>
  <c r="AA51" i="9"/>
  <c r="AA53" i="9"/>
  <c r="AA55" i="9"/>
  <c r="AA57" i="9"/>
  <c r="AA59" i="9"/>
  <c r="AA47" i="9"/>
  <c r="AA61" i="9"/>
  <c r="AA49" i="9"/>
  <c r="AA44" i="9"/>
  <c r="AA46" i="9"/>
  <c r="AA48" i="9"/>
  <c r="AA50" i="9"/>
  <c r="AA52" i="9"/>
  <c r="AA54" i="9"/>
  <c r="AA56" i="9"/>
  <c r="AA58" i="9"/>
  <c r="AA60" i="9"/>
  <c r="AA62" i="9"/>
  <c r="AA64" i="9"/>
  <c r="U42" i="9" l="1"/>
  <c r="AB34" i="9"/>
  <c r="AC34" i="9"/>
  <c r="AD34" i="9"/>
  <c r="AE34" i="9"/>
  <c r="AB35" i="9"/>
  <c r="AC35" i="9"/>
  <c r="AD35" i="9"/>
  <c r="AE35" i="9"/>
  <c r="Q34" i="9"/>
  <c r="Q35" i="9"/>
  <c r="AA35" i="9" l="1"/>
  <c r="AA34" i="9"/>
  <c r="G11" i="22" l="1"/>
  <c r="H13" i="23" l="1"/>
  <c r="H11" i="23" s="1"/>
  <c r="H10" i="23" l="1"/>
  <c r="D11" i="23"/>
  <c r="J18" i="22"/>
  <c r="G36" i="23"/>
  <c r="H26" i="18"/>
  <c r="H19" i="18" s="1"/>
  <c r="I26" i="18"/>
  <c r="I19" i="18" s="1"/>
  <c r="J19" i="18"/>
  <c r="G30" i="23" l="1"/>
  <c r="F48" i="23" l="1"/>
  <c r="F41" i="23" s="1"/>
  <c r="G48" i="23"/>
  <c r="G41" i="23" s="1"/>
  <c r="G9" i="24"/>
  <c r="G10" i="24" l="1"/>
  <c r="G8" i="24" s="1"/>
  <c r="G18" i="22"/>
  <c r="H21" i="22"/>
  <c r="I21" i="22"/>
  <c r="J21" i="22"/>
  <c r="G21" i="22"/>
  <c r="F23" i="22"/>
  <c r="H30" i="22" l="1"/>
  <c r="I30" i="22"/>
  <c r="J30" i="22"/>
  <c r="G30" i="22"/>
  <c r="I35" i="24"/>
  <c r="I20" i="24" s="1"/>
  <c r="H78" i="24"/>
  <c r="N66" i="9"/>
  <c r="N67" i="9" s="1"/>
  <c r="T66" i="9"/>
  <c r="T67" i="9" s="1"/>
  <c r="R66" i="9"/>
  <c r="R41" i="9"/>
  <c r="R42" i="9" s="1"/>
  <c r="Q33" i="9"/>
  <c r="T42" i="9"/>
  <c r="S41" i="9"/>
  <c r="S67" i="9" s="1"/>
  <c r="W41" i="9"/>
  <c r="X41" i="9"/>
  <c r="Y41" i="9"/>
  <c r="W66" i="9"/>
  <c r="Z66" i="9"/>
  <c r="Y66" i="9"/>
  <c r="X66" i="9"/>
  <c r="O66" i="9"/>
  <c r="O67" i="9" s="1"/>
  <c r="M66" i="9"/>
  <c r="G66" i="9"/>
  <c r="V33" i="9"/>
  <c r="L33" i="9"/>
  <c r="V39" i="9"/>
  <c r="Q39" i="9"/>
  <c r="L39" i="9"/>
  <c r="V38" i="9"/>
  <c r="Q38" i="9"/>
  <c r="L38" i="9"/>
  <c r="V37" i="9"/>
  <c r="Q37" i="9"/>
  <c r="L37" i="9"/>
  <c r="G37" i="9"/>
  <c r="M67" i="9" l="1"/>
  <c r="L66" i="9"/>
  <c r="R67" i="9"/>
  <c r="AE66" i="9"/>
  <c r="AB66" i="9"/>
  <c r="S42" i="9"/>
  <c r="Q66" i="9"/>
  <c r="Q41" i="9"/>
  <c r="W67" i="9"/>
  <c r="V66" i="9"/>
  <c r="Q42" i="9" l="1"/>
  <c r="Q67" i="9"/>
  <c r="F40" i="22"/>
  <c r="F41" i="22"/>
  <c r="H36" i="22" l="1"/>
  <c r="I36" i="22"/>
  <c r="J36" i="22"/>
  <c r="G36" i="22"/>
  <c r="H39" i="22"/>
  <c r="I39" i="22"/>
  <c r="J39" i="22"/>
  <c r="G39" i="22"/>
  <c r="F32" i="22"/>
  <c r="F39" i="22" l="1"/>
  <c r="G35" i="22"/>
  <c r="G29" i="22" s="1"/>
  <c r="I35" i="22"/>
  <c r="I29" i="22" s="1"/>
  <c r="J35" i="22"/>
  <c r="J29" i="22" s="1"/>
  <c r="F36" i="22"/>
  <c r="H35" i="22"/>
  <c r="H29" i="22" s="1"/>
  <c r="G8" i="22"/>
  <c r="H18" i="22"/>
  <c r="I18" i="22"/>
  <c r="F22" i="22"/>
  <c r="F24" i="22"/>
  <c r="F25" i="22"/>
  <c r="F37" i="22"/>
  <c r="F38" i="22"/>
  <c r="F20" i="22"/>
  <c r="F35" i="22" l="1"/>
  <c r="F33" i="22"/>
  <c r="F30" i="22"/>
  <c r="F21" i="22"/>
  <c r="F34" i="22"/>
  <c r="F29" i="22" l="1"/>
  <c r="I11" i="22" l="1"/>
  <c r="E8" i="22"/>
  <c r="D8" i="22"/>
  <c r="F13" i="22"/>
  <c r="F15" i="22"/>
  <c r="J14" i="22"/>
  <c r="H7" i="23"/>
  <c r="H6" i="23" s="1"/>
  <c r="F14" i="22" l="1"/>
  <c r="J11" i="22"/>
  <c r="F7" i="23"/>
  <c r="F10" i="22"/>
  <c r="E7" i="23"/>
  <c r="E6" i="23" s="1"/>
  <c r="G7" i="23"/>
  <c r="F8" i="22" l="1"/>
  <c r="F9" i="22"/>
  <c r="D146" i="23" l="1"/>
  <c r="D108" i="23" l="1"/>
  <c r="D107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106" i="23"/>
  <c r="D81" i="23"/>
  <c r="D80" i="23"/>
  <c r="D79" i="23"/>
  <c r="D78" i="23"/>
  <c r="D77" i="23"/>
  <c r="D75" i="23"/>
  <c r="H74" i="23"/>
  <c r="H73" i="23" s="1"/>
  <c r="H72" i="23" s="1"/>
  <c r="G74" i="23"/>
  <c r="G73" i="23" s="1"/>
  <c r="G72" i="23" s="1"/>
  <c r="F74" i="23"/>
  <c r="F73" i="23" s="1"/>
  <c r="F72" i="23" s="1"/>
  <c r="E74" i="23"/>
  <c r="E73" i="23" s="1"/>
  <c r="E72" i="23" s="1"/>
  <c r="D74" i="23" l="1"/>
  <c r="D104" i="23"/>
  <c r="F6" i="23"/>
  <c r="G6" i="23"/>
  <c r="D10" i="23"/>
  <c r="D7" i="23" l="1"/>
  <c r="D17" i="23"/>
  <c r="D16" i="23"/>
  <c r="D15" i="23"/>
  <c r="D13" i="23"/>
  <c r="D14" i="23"/>
  <c r="J13" i="24"/>
  <c r="J8" i="24" s="1"/>
  <c r="J34" i="24"/>
  <c r="J20" i="24" s="1"/>
  <c r="F13" i="24" l="1"/>
  <c r="D138" i="23"/>
  <c r="D20" i="23" l="1"/>
  <c r="D12" i="23"/>
  <c r="D155" i="23"/>
  <c r="D154" i="23"/>
  <c r="D153" i="23"/>
  <c r="D152" i="23"/>
  <c r="D151" i="23"/>
  <c r="F10" i="24" l="1"/>
  <c r="D140" i="23" l="1"/>
  <c r="D141" i="23"/>
  <c r="D142" i="23"/>
  <c r="D143" i="23"/>
  <c r="D144" i="23"/>
  <c r="D145" i="23"/>
  <c r="D147" i="23"/>
  <c r="D139" i="23"/>
  <c r="F150" i="23" l="1"/>
  <c r="F149" i="23" s="1"/>
  <c r="F148" i="23" s="1"/>
  <c r="G150" i="23"/>
  <c r="G149" i="23" s="1"/>
  <c r="G148" i="23" s="1"/>
  <c r="H150" i="23"/>
  <c r="H149" i="23" s="1"/>
  <c r="H148" i="23" s="1"/>
  <c r="E150" i="23"/>
  <c r="E149" i="23" s="1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3" i="23"/>
  <c r="H122" i="23"/>
  <c r="G122" i="23"/>
  <c r="F122" i="23"/>
  <c r="E122" i="23"/>
  <c r="D121" i="23"/>
  <c r="D120" i="23"/>
  <c r="D119" i="23"/>
  <c r="H118" i="23"/>
  <c r="G118" i="23"/>
  <c r="F118" i="23"/>
  <c r="E118" i="23"/>
  <c r="D117" i="23"/>
  <c r="D116" i="23"/>
  <c r="H115" i="23"/>
  <c r="G115" i="23"/>
  <c r="F115" i="23"/>
  <c r="E115" i="23"/>
  <c r="E161" i="23"/>
  <c r="E160" i="23" s="1"/>
  <c r="F161" i="23"/>
  <c r="F160" i="23" s="1"/>
  <c r="G161" i="23"/>
  <c r="G160" i="23" s="1"/>
  <c r="H161" i="23"/>
  <c r="H160" i="23" s="1"/>
  <c r="E114" i="23" l="1"/>
  <c r="E113" i="23" s="1"/>
  <c r="G114" i="23"/>
  <c r="G113" i="23" s="1"/>
  <c r="F114" i="23"/>
  <c r="F113" i="23" s="1"/>
  <c r="H114" i="23"/>
  <c r="H113" i="23" s="1"/>
  <c r="D149" i="23"/>
  <c r="E148" i="23"/>
  <c r="D148" i="23" s="1"/>
  <c r="D124" i="23"/>
  <c r="D122" i="23"/>
  <c r="D72" i="23"/>
  <c r="D118" i="23"/>
  <c r="D115" i="23"/>
  <c r="D160" i="23"/>
  <c r="D161" i="23"/>
  <c r="D150" i="23"/>
  <c r="D113" i="23" l="1"/>
  <c r="D114" i="23"/>
  <c r="F21" i="24"/>
  <c r="F22" i="24"/>
  <c r="F23" i="24"/>
  <c r="F24" i="24"/>
  <c r="D18" i="23" l="1"/>
  <c r="D19" i="23"/>
  <c r="H52" i="23" l="1"/>
  <c r="E52" i="23"/>
  <c r="E51" i="23" s="1"/>
  <c r="D56" i="23"/>
  <c r="D55" i="23"/>
  <c r="D71" i="23"/>
  <c r="D57" i="23" l="1"/>
  <c r="D63" i="23"/>
  <c r="F52" i="23"/>
  <c r="G52" i="23"/>
  <c r="E50" i="23"/>
  <c r="E5" i="23" s="1"/>
  <c r="F22" i="23"/>
  <c r="F21" i="23" s="1"/>
  <c r="G22" i="23"/>
  <c r="G21" i="23" s="1"/>
  <c r="H22" i="23"/>
  <c r="H21" i="23" s="1"/>
  <c r="D67" i="23"/>
  <c r="D68" i="23"/>
  <c r="D69" i="23"/>
  <c r="D70" i="23"/>
  <c r="D53" i="23"/>
  <c r="D54" i="23"/>
  <c r="D23" i="23"/>
  <c r="D24" i="23"/>
  <c r="D26" i="23"/>
  <c r="D27" i="23"/>
  <c r="D28" i="23"/>
  <c r="D29" i="23"/>
  <c r="D31" i="23"/>
  <c r="D32" i="23"/>
  <c r="D33" i="23"/>
  <c r="D34" i="23"/>
  <c r="D35" i="23"/>
  <c r="D36" i="23"/>
  <c r="D37" i="23"/>
  <c r="D38" i="23"/>
  <c r="D39" i="23"/>
  <c r="D42" i="23"/>
  <c r="D43" i="23"/>
  <c r="D46" i="23"/>
  <c r="D47" i="23"/>
  <c r="D48" i="23"/>
  <c r="D49" i="23"/>
  <c r="D8" i="23"/>
  <c r="D41" i="23" l="1"/>
  <c r="D64" i="23"/>
  <c r="D52" i="23"/>
  <c r="D30" i="23"/>
  <c r="D25" i="23"/>
  <c r="D22" i="23"/>
  <c r="D21" i="23" l="1"/>
  <c r="J58" i="24" l="1"/>
  <c r="I58" i="24"/>
  <c r="H58" i="24"/>
  <c r="F64" i="24"/>
  <c r="F63" i="24"/>
  <c r="F60" i="24"/>
  <c r="F59" i="24"/>
  <c r="F44" i="24"/>
  <c r="F45" i="24"/>
  <c r="F46" i="24"/>
  <c r="F47" i="24"/>
  <c r="F48" i="24"/>
  <c r="F75" i="24"/>
  <c r="F76" i="24"/>
  <c r="F77" i="24"/>
  <c r="F78" i="24"/>
  <c r="F79" i="24"/>
  <c r="F80" i="24"/>
  <c r="F58" i="24" l="1"/>
  <c r="F9" i="24"/>
  <c r="F73" i="24" l="1"/>
  <c r="F74" i="24"/>
  <c r="F81" i="24"/>
  <c r="F66" i="24"/>
  <c r="E11" i="22" l="1"/>
  <c r="D11" i="22"/>
  <c r="E18" i="22"/>
  <c r="D18" i="22"/>
  <c r="X67" i="9"/>
  <c r="Z67" i="9"/>
  <c r="W42" i="9"/>
  <c r="X42" i="9"/>
  <c r="Z42" i="9"/>
  <c r="E15" i="11"/>
  <c r="F15" i="11"/>
  <c r="G15" i="11"/>
  <c r="D15" i="11"/>
  <c r="D6" i="23" l="1"/>
  <c r="J27" i="10" l="1"/>
  <c r="J26" i="10"/>
  <c r="F51" i="24"/>
  <c r="H27" i="10"/>
  <c r="E142" i="14" s="1"/>
  <c r="H26" i="10"/>
  <c r="E141" i="14" s="1"/>
  <c r="H25" i="10"/>
  <c r="E140" i="14" s="1"/>
  <c r="E84" i="14"/>
  <c r="D162" i="23"/>
  <c r="D66" i="23"/>
  <c r="H51" i="23"/>
  <c r="H50" i="23" s="1"/>
  <c r="H5" i="23" s="1"/>
  <c r="D61" i="23"/>
  <c r="D60" i="23"/>
  <c r="D59" i="23"/>
  <c r="D58" i="23"/>
  <c r="D9" i="23"/>
  <c r="H50" i="20"/>
  <c r="G50" i="20"/>
  <c r="I50" i="20"/>
  <c r="AE33" i="9"/>
  <c r="AD33" i="9"/>
  <c r="AC33" i="9"/>
  <c r="AB33" i="9"/>
  <c r="AE41" i="9"/>
  <c r="AB41" i="9"/>
  <c r="AE38" i="9"/>
  <c r="AE39" i="9"/>
  <c r="AE37" i="9"/>
  <c r="AB38" i="9"/>
  <c r="AB39" i="9"/>
  <c r="AC38" i="9"/>
  <c r="AC39" i="9"/>
  <c r="F50" i="24"/>
  <c r="F49" i="24"/>
  <c r="F36" i="24"/>
  <c r="L38" i="10"/>
  <c r="K38" i="10"/>
  <c r="G6" i="24"/>
  <c r="G5" i="24" s="1"/>
  <c r="H6" i="24"/>
  <c r="H5" i="24" s="1"/>
  <c r="J6" i="24"/>
  <c r="J5" i="24" s="1"/>
  <c r="I6" i="24"/>
  <c r="D107" i="14"/>
  <c r="N38" i="10"/>
  <c r="O38" i="10"/>
  <c r="I38" i="10"/>
  <c r="H38" i="10"/>
  <c r="F27" i="10"/>
  <c r="F26" i="10"/>
  <c r="F25" i="10"/>
  <c r="D84" i="14"/>
  <c r="D99" i="20"/>
  <c r="AE42" i="9" l="1"/>
  <c r="AB42" i="9"/>
  <c r="AA33" i="9"/>
  <c r="F20" i="24"/>
  <c r="Y42" i="9"/>
  <c r="Y67" i="9"/>
  <c r="AC41" i="9"/>
  <c r="AC42" i="9" s="1"/>
  <c r="L41" i="9"/>
  <c r="AD41" i="9"/>
  <c r="AD42" i="9" s="1"/>
  <c r="F51" i="23"/>
  <c r="F68" i="24"/>
  <c r="F34" i="24"/>
  <c r="F72" i="24"/>
  <c r="F71" i="24"/>
  <c r="F70" i="24"/>
  <c r="F67" i="24"/>
  <c r="L67" i="9" l="1"/>
  <c r="L42" i="9"/>
  <c r="AA41" i="9"/>
  <c r="AA42" i="9" s="1"/>
  <c r="F50" i="23"/>
  <c r="F5" i="23" s="1"/>
  <c r="F8" i="24"/>
  <c r="F69" i="24"/>
  <c r="F109" i="14" l="1"/>
  <c r="F115" i="14" s="1"/>
  <c r="F52" i="24"/>
  <c r="F43" i="24"/>
  <c r="F42" i="24"/>
  <c r="F41" i="24"/>
  <c r="F40" i="24"/>
  <c r="F39" i="24"/>
  <c r="F38" i="24"/>
  <c r="F37" i="24"/>
  <c r="F35" i="24"/>
  <c r="F33" i="24"/>
  <c r="F32" i="24"/>
  <c r="F31" i="24"/>
  <c r="F30" i="24"/>
  <c r="F29" i="24"/>
  <c r="F28" i="24"/>
  <c r="F27" i="24"/>
  <c r="F26" i="24"/>
  <c r="F25" i="24"/>
  <c r="F17" i="24"/>
  <c r="F16" i="24"/>
  <c r="F15" i="24"/>
  <c r="F14" i="24"/>
  <c r="F11" i="24"/>
  <c r="I5" i="24"/>
  <c r="F7" i="24"/>
  <c r="F6" i="24"/>
  <c r="F19" i="22"/>
  <c r="F12" i="22"/>
  <c r="F5" i="24" l="1"/>
  <c r="F11" i="22"/>
  <c r="F18" i="22"/>
  <c r="F142" i="14"/>
  <c r="F141" i="14"/>
  <c r="F140" i="14"/>
  <c r="F41" i="18"/>
  <c r="J19" i="19"/>
  <c r="I19" i="20"/>
  <c r="I42" i="20"/>
  <c r="F13" i="20"/>
  <c r="AD38" i="9"/>
  <c r="AA38" i="9" s="1"/>
  <c r="AD39" i="9"/>
  <c r="AA39" i="9" s="1"/>
  <c r="D88" i="14"/>
  <c r="E88" i="14"/>
  <c r="C88" i="14"/>
  <c r="D90" i="14"/>
  <c r="E90" i="14"/>
  <c r="D89" i="14"/>
  <c r="E89" i="14"/>
  <c r="C90" i="14"/>
  <c r="C89" i="14"/>
  <c r="C115" i="14"/>
  <c r="F33" i="19"/>
  <c r="F87" i="14" s="1"/>
  <c r="J9" i="21"/>
  <c r="J51" i="18" s="1"/>
  <c r="G9" i="21"/>
  <c r="G51" i="18" s="1"/>
  <c r="H9" i="21"/>
  <c r="H51" i="18" s="1"/>
  <c r="I9" i="21"/>
  <c r="I51" i="18" s="1"/>
  <c r="D9" i="21"/>
  <c r="E9" i="21"/>
  <c r="C9" i="21"/>
  <c r="F12" i="21"/>
  <c r="F11" i="21"/>
  <c r="D78" i="14"/>
  <c r="E9" i="20"/>
  <c r="E53" i="14" s="1"/>
  <c r="O84" i="9"/>
  <c r="Q84" i="9"/>
  <c r="S84" i="9"/>
  <c r="M77" i="9"/>
  <c r="G84" i="9"/>
  <c r="I84" i="9"/>
  <c r="K84" i="9"/>
  <c r="E84" i="9"/>
  <c r="F16" i="10"/>
  <c r="H16" i="10"/>
  <c r="J16" i="10"/>
  <c r="D16" i="10"/>
  <c r="F12" i="10"/>
  <c r="H12" i="10"/>
  <c r="J12" i="10"/>
  <c r="D12" i="10"/>
  <c r="H19" i="19"/>
  <c r="I19" i="19"/>
  <c r="G19" i="19"/>
  <c r="D19" i="19"/>
  <c r="D77" i="14" s="1"/>
  <c r="E19" i="19"/>
  <c r="E77" i="14" s="1"/>
  <c r="C19" i="19"/>
  <c r="C85" i="20"/>
  <c r="AC20" i="9"/>
  <c r="AC21" i="9"/>
  <c r="AC22" i="9"/>
  <c r="W23" i="9"/>
  <c r="Q23" i="9"/>
  <c r="AC19" i="9"/>
  <c r="Z20" i="9"/>
  <c r="Z21" i="9"/>
  <c r="Z22" i="9"/>
  <c r="T23" i="9"/>
  <c r="Z19" i="9"/>
  <c r="AC8" i="9"/>
  <c r="AC9" i="9"/>
  <c r="AC10" i="9"/>
  <c r="V11" i="9"/>
  <c r="N11" i="9"/>
  <c r="AC7" i="9"/>
  <c r="Z8" i="9"/>
  <c r="Z9" i="9"/>
  <c r="Z10" i="9"/>
  <c r="R11" i="9"/>
  <c r="Z7" i="9"/>
  <c r="K47" i="10"/>
  <c r="G129" i="14"/>
  <c r="H129" i="14"/>
  <c r="I129" i="14"/>
  <c r="J129" i="14"/>
  <c r="G125" i="14"/>
  <c r="H125" i="14"/>
  <c r="I125" i="14"/>
  <c r="J125" i="14"/>
  <c r="C129" i="14"/>
  <c r="D129" i="14"/>
  <c r="E129" i="14"/>
  <c r="C125" i="14"/>
  <c r="D125" i="14"/>
  <c r="E125" i="14"/>
  <c r="F130" i="14"/>
  <c r="F131" i="14"/>
  <c r="F132" i="14"/>
  <c r="F126" i="14"/>
  <c r="F127" i="14"/>
  <c r="F128" i="14"/>
  <c r="D62" i="10"/>
  <c r="G62" i="10"/>
  <c r="J62" i="10"/>
  <c r="M59" i="10"/>
  <c r="M56" i="10"/>
  <c r="M53" i="10"/>
  <c r="M38" i="10"/>
  <c r="J38" i="10"/>
  <c r="G38" i="10"/>
  <c r="D38" i="10"/>
  <c r="N13" i="10"/>
  <c r="N14" i="10"/>
  <c r="N15" i="10"/>
  <c r="N17" i="10"/>
  <c r="N18" i="10"/>
  <c r="N19" i="10"/>
  <c r="D20" i="10"/>
  <c r="F95" i="20"/>
  <c r="J20" i="10" s="1"/>
  <c r="N21" i="10"/>
  <c r="N22" i="10"/>
  <c r="N23" i="10"/>
  <c r="D25" i="10"/>
  <c r="C140" i="14" s="1"/>
  <c r="D26" i="10"/>
  <c r="C141" i="14" s="1"/>
  <c r="D27" i="10"/>
  <c r="C142" i="14" s="1"/>
  <c r="H20" i="10"/>
  <c r="F20" i="10"/>
  <c r="D138" i="14"/>
  <c r="E138" i="14"/>
  <c r="C138" i="14"/>
  <c r="F136" i="14"/>
  <c r="F137" i="14"/>
  <c r="F135" i="14"/>
  <c r="E136" i="14"/>
  <c r="E137" i="14"/>
  <c r="E135" i="14"/>
  <c r="D136" i="14"/>
  <c r="D137" i="14"/>
  <c r="D135" i="14"/>
  <c r="C136" i="14"/>
  <c r="C137" i="14"/>
  <c r="C135" i="14"/>
  <c r="E107" i="14"/>
  <c r="F107" i="14"/>
  <c r="C107" i="14"/>
  <c r="D119" i="14"/>
  <c r="D122" i="14" s="1"/>
  <c r="E119" i="14"/>
  <c r="F119" i="14"/>
  <c r="F106" i="14" s="1"/>
  <c r="C119" i="14"/>
  <c r="C122" i="14" s="1"/>
  <c r="D52" i="14"/>
  <c r="D54" i="20"/>
  <c r="D58" i="14" s="1"/>
  <c r="D62" i="14"/>
  <c r="D63" i="14"/>
  <c r="D64" i="14"/>
  <c r="D65" i="14"/>
  <c r="D69" i="14"/>
  <c r="D70" i="14"/>
  <c r="D71" i="14"/>
  <c r="D72" i="14"/>
  <c r="E52" i="14"/>
  <c r="E54" i="20"/>
  <c r="E58" i="14" s="1"/>
  <c r="E62" i="14"/>
  <c r="E63" i="14"/>
  <c r="E64" i="14"/>
  <c r="E65" i="14"/>
  <c r="E69" i="14"/>
  <c r="E70" i="14"/>
  <c r="E71" i="14"/>
  <c r="E72" i="14"/>
  <c r="C9" i="20"/>
  <c r="C53" i="14" s="1"/>
  <c r="C52" i="14"/>
  <c r="C19" i="20"/>
  <c r="C55" i="14" s="1"/>
  <c r="C42" i="20"/>
  <c r="C56" i="14" s="1"/>
  <c r="C50" i="20"/>
  <c r="C57" i="14" s="1"/>
  <c r="C54" i="20"/>
  <c r="C58" i="14" s="1"/>
  <c r="C63" i="14"/>
  <c r="C65" i="14"/>
  <c r="C62" i="14"/>
  <c r="C64" i="14"/>
  <c r="C66" i="20"/>
  <c r="C66" i="14" s="1"/>
  <c r="C69" i="20"/>
  <c r="C67" i="14" s="1"/>
  <c r="C69" i="14"/>
  <c r="C70" i="14"/>
  <c r="C71" i="14"/>
  <c r="C72" i="14"/>
  <c r="E20" i="11"/>
  <c r="F20" i="11"/>
  <c r="G20" i="11"/>
  <c r="D20" i="11"/>
  <c r="C7" i="3"/>
  <c r="C101" i="14" s="1"/>
  <c r="E16" i="11"/>
  <c r="F16" i="11"/>
  <c r="G16" i="11"/>
  <c r="D16" i="11"/>
  <c r="D87" i="20"/>
  <c r="D89" i="20"/>
  <c r="E87" i="20"/>
  <c r="E89" i="20"/>
  <c r="C86" i="20"/>
  <c r="C88" i="20"/>
  <c r="C87" i="20"/>
  <c r="C89" i="20"/>
  <c r="D110" i="14"/>
  <c r="D109" i="14" s="1"/>
  <c r="D115" i="14" s="1"/>
  <c r="E110" i="14"/>
  <c r="E109" i="14" s="1"/>
  <c r="E115" i="14" s="1"/>
  <c r="C110" i="14"/>
  <c r="H7" i="3"/>
  <c r="J7" i="3"/>
  <c r="G7" i="3"/>
  <c r="D7" i="3"/>
  <c r="D101" i="14" s="1"/>
  <c r="E7" i="3"/>
  <c r="E101" i="14" s="1"/>
  <c r="D93" i="14"/>
  <c r="D98" i="14"/>
  <c r="E93" i="14"/>
  <c r="E98" i="14"/>
  <c r="F93" i="14"/>
  <c r="C14" i="18"/>
  <c r="C8" i="18" s="1"/>
  <c r="C22" i="18"/>
  <c r="C37" i="18"/>
  <c r="C42" i="18"/>
  <c r="C52" i="18"/>
  <c r="C50" i="18" s="1"/>
  <c r="C59" i="18"/>
  <c r="C57" i="18" s="1"/>
  <c r="C93" i="14"/>
  <c r="C98" i="14"/>
  <c r="D94" i="14"/>
  <c r="E94" i="14"/>
  <c r="C94" i="14"/>
  <c r="F68" i="18"/>
  <c r="F98" i="14" s="1"/>
  <c r="F64" i="18"/>
  <c r="F63" i="18"/>
  <c r="F58" i="18"/>
  <c r="F62" i="18"/>
  <c r="F61" i="18"/>
  <c r="F60" i="18"/>
  <c r="J59" i="18"/>
  <c r="J57" i="18" s="1"/>
  <c r="I59" i="18"/>
  <c r="I57" i="18" s="1"/>
  <c r="H59" i="18"/>
  <c r="H57" i="18" s="1"/>
  <c r="G59" i="18"/>
  <c r="G57" i="18" s="1"/>
  <c r="E59" i="18"/>
  <c r="E57" i="18" s="1"/>
  <c r="D59" i="18"/>
  <c r="D57" i="18" s="1"/>
  <c r="J52" i="18"/>
  <c r="I52" i="18"/>
  <c r="H52" i="18"/>
  <c r="G52" i="18"/>
  <c r="E52" i="18"/>
  <c r="E50" i="18" s="1"/>
  <c r="D52" i="18"/>
  <c r="D50" i="18" s="1"/>
  <c r="F53" i="18"/>
  <c r="F54" i="18"/>
  <c r="F55" i="18"/>
  <c r="F56" i="18"/>
  <c r="H42" i="18"/>
  <c r="I42" i="18"/>
  <c r="J42" i="18"/>
  <c r="G42" i="18"/>
  <c r="D42" i="18"/>
  <c r="E42" i="18"/>
  <c r="F47" i="18"/>
  <c r="F46" i="18"/>
  <c r="F45" i="18"/>
  <c r="F44" i="18"/>
  <c r="F43" i="18"/>
  <c r="H37" i="18"/>
  <c r="I37" i="18"/>
  <c r="J37" i="18"/>
  <c r="G37" i="18"/>
  <c r="D37" i="18"/>
  <c r="E37" i="18"/>
  <c r="D26" i="18"/>
  <c r="E26" i="18"/>
  <c r="C26" i="18"/>
  <c r="E22" i="18"/>
  <c r="D22" i="18"/>
  <c r="H14" i="18"/>
  <c r="H8" i="18" s="1"/>
  <c r="I14" i="18"/>
  <c r="I8" i="18" s="1"/>
  <c r="J14" i="18"/>
  <c r="J8" i="18" s="1"/>
  <c r="J35" i="18" s="1"/>
  <c r="G14" i="18"/>
  <c r="G8" i="18" s="1"/>
  <c r="D14" i="18"/>
  <c r="D8" i="18" s="1"/>
  <c r="E14" i="18"/>
  <c r="E8" i="18" s="1"/>
  <c r="F9" i="18"/>
  <c r="F10" i="18"/>
  <c r="F11" i="18"/>
  <c r="F12" i="18"/>
  <c r="F94" i="14" s="1"/>
  <c r="G94" i="14" s="1"/>
  <c r="H94" i="14" s="1"/>
  <c r="I94" i="14" s="1"/>
  <c r="F13" i="18"/>
  <c r="F15" i="18"/>
  <c r="F16" i="18"/>
  <c r="F17" i="18"/>
  <c r="F18" i="18"/>
  <c r="F23" i="18"/>
  <c r="F24" i="18"/>
  <c r="F25" i="18"/>
  <c r="F27" i="18"/>
  <c r="F28" i="18"/>
  <c r="F29" i="18"/>
  <c r="F30" i="18"/>
  <c r="F31" i="18"/>
  <c r="F32" i="18"/>
  <c r="F33" i="18"/>
  <c r="F34" i="18"/>
  <c r="F20" i="18"/>
  <c r="F21" i="18"/>
  <c r="C27" i="19"/>
  <c r="C85" i="14" s="1"/>
  <c r="C32" i="19"/>
  <c r="C86" i="14" s="1"/>
  <c r="C37" i="19"/>
  <c r="D87" i="14"/>
  <c r="E87" i="14"/>
  <c r="C87" i="14"/>
  <c r="C84" i="14"/>
  <c r="D81" i="14"/>
  <c r="E81" i="14"/>
  <c r="C81" i="14"/>
  <c r="D80" i="14"/>
  <c r="E80" i="14"/>
  <c r="C80" i="14"/>
  <c r="D79" i="14"/>
  <c r="E79" i="14"/>
  <c r="C79" i="14"/>
  <c r="E78" i="14"/>
  <c r="C78" i="14"/>
  <c r="H37" i="19"/>
  <c r="I37" i="19"/>
  <c r="J37" i="19"/>
  <c r="G37" i="19"/>
  <c r="D37" i="19"/>
  <c r="E37" i="19"/>
  <c r="J32" i="19"/>
  <c r="I32" i="19"/>
  <c r="H32" i="19"/>
  <c r="G32" i="19"/>
  <c r="E32" i="19"/>
  <c r="E86" i="14" s="1"/>
  <c r="D32" i="19"/>
  <c r="D86" i="14" s="1"/>
  <c r="H27" i="19"/>
  <c r="I27" i="19"/>
  <c r="J27" i="19"/>
  <c r="G27" i="19"/>
  <c r="D27" i="19"/>
  <c r="D85" i="14" s="1"/>
  <c r="E27" i="19"/>
  <c r="E85" i="14" s="1"/>
  <c r="F20" i="19"/>
  <c r="F78" i="14" s="1"/>
  <c r="F21" i="19"/>
  <c r="F79" i="14" s="1"/>
  <c r="F22" i="19"/>
  <c r="F80" i="14" s="1"/>
  <c r="F23" i="19"/>
  <c r="F81" i="14" s="1"/>
  <c r="F24" i="19"/>
  <c r="F25" i="19"/>
  <c r="F26" i="19"/>
  <c r="F84" i="14" s="1"/>
  <c r="G84" i="14" s="1"/>
  <c r="F28" i="19"/>
  <c r="F29" i="19"/>
  <c r="F30" i="19"/>
  <c r="F31" i="19"/>
  <c r="F34" i="19"/>
  <c r="F88" i="14" s="1"/>
  <c r="F35" i="19"/>
  <c r="F89" i="14" s="1"/>
  <c r="G89" i="14" s="1"/>
  <c r="F36" i="19"/>
  <c r="F90" i="14" s="1"/>
  <c r="F38" i="19"/>
  <c r="F39" i="19"/>
  <c r="C9" i="19"/>
  <c r="H9" i="19"/>
  <c r="I9" i="19"/>
  <c r="J9" i="19"/>
  <c r="G9" i="19"/>
  <c r="D9" i="19"/>
  <c r="E9" i="19"/>
  <c r="J54" i="14"/>
  <c r="J59" i="14" s="1"/>
  <c r="J68" i="14" s="1"/>
  <c r="J73" i="14" s="1"/>
  <c r="J103" i="14" s="1"/>
  <c r="C75" i="14"/>
  <c r="D75" i="14"/>
  <c r="E75" i="14"/>
  <c r="D74" i="14"/>
  <c r="E74" i="14"/>
  <c r="C74" i="14"/>
  <c r="J61" i="14"/>
  <c r="D9" i="20"/>
  <c r="D53" i="14" s="1"/>
  <c r="H89" i="20"/>
  <c r="I89" i="20"/>
  <c r="J89" i="20"/>
  <c r="G89" i="20"/>
  <c r="H88" i="20"/>
  <c r="I88" i="20"/>
  <c r="J88" i="20"/>
  <c r="G88" i="20"/>
  <c r="D88" i="20"/>
  <c r="E88" i="20"/>
  <c r="H87" i="20"/>
  <c r="I87" i="20"/>
  <c r="J87" i="20"/>
  <c r="G87" i="20"/>
  <c r="H86" i="20"/>
  <c r="I86" i="20"/>
  <c r="J86" i="20"/>
  <c r="G86" i="20"/>
  <c r="D86" i="20"/>
  <c r="E86" i="20"/>
  <c r="D19" i="20"/>
  <c r="D55" i="14" s="1"/>
  <c r="D42" i="20"/>
  <c r="D56" i="14" s="1"/>
  <c r="D69" i="20"/>
  <c r="D67" i="14" s="1"/>
  <c r="E19" i="20"/>
  <c r="E55" i="14" s="1"/>
  <c r="E42" i="20"/>
  <c r="E56" i="14" s="1"/>
  <c r="E69" i="20"/>
  <c r="E67" i="14" s="1"/>
  <c r="H19" i="20"/>
  <c r="J19" i="20"/>
  <c r="J61" i="20" s="1"/>
  <c r="F43" i="20"/>
  <c r="F44" i="20"/>
  <c r="F45" i="20"/>
  <c r="F46" i="20"/>
  <c r="F47" i="20"/>
  <c r="F48" i="20"/>
  <c r="F49" i="20"/>
  <c r="F55" i="20"/>
  <c r="F56" i="20"/>
  <c r="F57" i="20"/>
  <c r="F58" i="20"/>
  <c r="F59" i="20"/>
  <c r="F60" i="20"/>
  <c r="F63" i="20"/>
  <c r="F63" i="14" s="1"/>
  <c r="F65" i="20"/>
  <c r="F65" i="14" s="1"/>
  <c r="F70" i="20"/>
  <c r="F71" i="20"/>
  <c r="F73" i="20"/>
  <c r="F69" i="14" s="1"/>
  <c r="F76" i="20"/>
  <c r="F72" i="14" s="1"/>
  <c r="G42" i="20"/>
  <c r="G54" i="20"/>
  <c r="G69" i="20"/>
  <c r="H42" i="20"/>
  <c r="H69" i="20"/>
  <c r="I69" i="20"/>
  <c r="J42" i="20"/>
  <c r="J54" i="20"/>
  <c r="J69" i="20"/>
  <c r="D50" i="20"/>
  <c r="D57" i="14" s="1"/>
  <c r="E50" i="20"/>
  <c r="E57" i="14" s="1"/>
  <c r="F51" i="20"/>
  <c r="F52" i="20"/>
  <c r="F53" i="20"/>
  <c r="I66" i="20"/>
  <c r="D66" i="20"/>
  <c r="D66" i="14" s="1"/>
  <c r="E66" i="20"/>
  <c r="E66" i="14" s="1"/>
  <c r="F8" i="20"/>
  <c r="F52" i="14" s="1"/>
  <c r="G52" i="14" s="1"/>
  <c r="F62" i="20"/>
  <c r="F62" i="14" s="1"/>
  <c r="F64" i="20"/>
  <c r="F64" i="14" s="1"/>
  <c r="F67" i="20"/>
  <c r="F68" i="20"/>
  <c r="F74" i="20"/>
  <c r="F70" i="14" s="1"/>
  <c r="F75" i="20"/>
  <c r="F71" i="14" s="1"/>
  <c r="G66" i="20"/>
  <c r="G80" i="20" s="1"/>
  <c r="H66" i="20"/>
  <c r="J66" i="20"/>
  <c r="J80" i="20" s="1"/>
  <c r="E99" i="20"/>
  <c r="F98" i="20"/>
  <c r="F97" i="20"/>
  <c r="F96" i="20"/>
  <c r="F94" i="20"/>
  <c r="F93" i="20"/>
  <c r="F92" i="20"/>
  <c r="F82" i="20"/>
  <c r="F79" i="20"/>
  <c r="F75" i="14" s="1"/>
  <c r="F78" i="20"/>
  <c r="F74" i="14" s="1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7" i="20"/>
  <c r="F16" i="20"/>
  <c r="F15" i="20"/>
  <c r="F14" i="20"/>
  <c r="F12" i="20"/>
  <c r="F11" i="20"/>
  <c r="F10" i="20"/>
  <c r="F11" i="19"/>
  <c r="F12" i="19"/>
  <c r="F14" i="19"/>
  <c r="F15" i="19"/>
  <c r="F16" i="19"/>
  <c r="AB37" i="9"/>
  <c r="AD37" i="9"/>
  <c r="AD66" i="9"/>
  <c r="AC37" i="9"/>
  <c r="AC66" i="9"/>
  <c r="L13" i="10"/>
  <c r="L14" i="10"/>
  <c r="L15" i="10"/>
  <c r="L17" i="10"/>
  <c r="L18" i="10"/>
  <c r="L19" i="10"/>
  <c r="L21" i="10"/>
  <c r="L22" i="10"/>
  <c r="L23" i="10"/>
  <c r="F13" i="19"/>
  <c r="F10" i="19"/>
  <c r="M83" i="9"/>
  <c r="M82" i="9"/>
  <c r="M81" i="9"/>
  <c r="M80" i="9"/>
  <c r="M79" i="9"/>
  <c r="M78" i="9"/>
  <c r="K67" i="9"/>
  <c r="AE67" i="9" s="1"/>
  <c r="J67" i="9"/>
  <c r="AD67" i="9" s="1"/>
  <c r="I67" i="9"/>
  <c r="AC67" i="9" s="1"/>
  <c r="H67" i="9"/>
  <c r="AB67" i="9" s="1"/>
  <c r="F11" i="3"/>
  <c r="F8" i="3"/>
  <c r="F40" i="18"/>
  <c r="F39" i="18"/>
  <c r="F38" i="18"/>
  <c r="B61" i="14"/>
  <c r="J72" i="20" l="1"/>
  <c r="J77" i="20" s="1"/>
  <c r="H48" i="18"/>
  <c r="G61" i="20"/>
  <c r="G72" i="20" s="1"/>
  <c r="G77" i="20" s="1"/>
  <c r="G17" i="19" s="1"/>
  <c r="H81" i="20"/>
  <c r="AA67" i="9"/>
  <c r="F19" i="20"/>
  <c r="F55" i="14" s="1"/>
  <c r="G55" i="14" s="1"/>
  <c r="D19" i="18"/>
  <c r="AA66" i="9"/>
  <c r="E122" i="14"/>
  <c r="E123" i="14" s="1"/>
  <c r="E106" i="14"/>
  <c r="D106" i="14"/>
  <c r="H24" i="10"/>
  <c r="E139" i="14" s="1"/>
  <c r="H40" i="19"/>
  <c r="V41" i="9"/>
  <c r="H84" i="14"/>
  <c r="G77" i="14"/>
  <c r="F24" i="10"/>
  <c r="J24" i="10"/>
  <c r="G90" i="14"/>
  <c r="H90" i="14" s="1"/>
  <c r="I90" i="14" s="1"/>
  <c r="H52" i="14"/>
  <c r="AC11" i="9"/>
  <c r="J48" i="18"/>
  <c r="Z11" i="9"/>
  <c r="Z23" i="9"/>
  <c r="N12" i="10"/>
  <c r="D24" i="10"/>
  <c r="C139" i="14" s="1"/>
  <c r="AC23" i="9"/>
  <c r="H80" i="20"/>
  <c r="I40" i="19"/>
  <c r="L27" i="10"/>
  <c r="C18" i="20"/>
  <c r="F138" i="14"/>
  <c r="F122" i="14"/>
  <c r="F123" i="14" s="1"/>
  <c r="L25" i="10"/>
  <c r="I81" i="20"/>
  <c r="D54" i="14"/>
  <c r="E8" i="11" s="1"/>
  <c r="D18" i="20"/>
  <c r="D61" i="20" s="1"/>
  <c r="D72" i="20" s="1"/>
  <c r="D77" i="20" s="1"/>
  <c r="D17" i="19" s="1"/>
  <c r="H61" i="20"/>
  <c r="H84" i="20" s="1"/>
  <c r="H90" i="20" s="1"/>
  <c r="F86" i="20"/>
  <c r="E48" i="18"/>
  <c r="E96" i="14" s="1"/>
  <c r="D48" i="18"/>
  <c r="D96" i="14" s="1"/>
  <c r="D65" i="18"/>
  <c r="D97" i="14" s="1"/>
  <c r="F42" i="20"/>
  <c r="F56" i="14" s="1"/>
  <c r="F87" i="20"/>
  <c r="F69" i="20"/>
  <c r="F67" i="14" s="1"/>
  <c r="N25" i="10"/>
  <c r="G67" i="9"/>
  <c r="C80" i="20"/>
  <c r="H89" i="14"/>
  <c r="H86" i="14" s="1"/>
  <c r="H35" i="18"/>
  <c r="I35" i="18"/>
  <c r="E65" i="18"/>
  <c r="E97" i="14" s="1"/>
  <c r="G48" i="18"/>
  <c r="H50" i="18"/>
  <c r="H65" i="18" s="1"/>
  <c r="I50" i="18"/>
  <c r="I65" i="18" s="1"/>
  <c r="G19" i="18"/>
  <c r="G35" i="18" s="1"/>
  <c r="I48" i="18"/>
  <c r="J50" i="18"/>
  <c r="J65" i="18" s="1"/>
  <c r="N26" i="10"/>
  <c r="J81" i="20"/>
  <c r="F66" i="20"/>
  <c r="F66" i="14" s="1"/>
  <c r="G66" i="14" s="1"/>
  <c r="E40" i="19"/>
  <c r="E91" i="14" s="1"/>
  <c r="C40" i="19"/>
  <c r="C91" i="14" s="1"/>
  <c r="C61" i="20"/>
  <c r="C72" i="20" s="1"/>
  <c r="C77" i="20" s="1"/>
  <c r="C17" i="19" s="1"/>
  <c r="F18" i="11"/>
  <c r="F9" i="19"/>
  <c r="E19" i="18"/>
  <c r="E35" i="18" s="1"/>
  <c r="F52" i="18"/>
  <c r="C123" i="14"/>
  <c r="C106" i="14" s="1"/>
  <c r="F22" i="18"/>
  <c r="E18" i="20"/>
  <c r="E61" i="20" s="1"/>
  <c r="E72" i="20" s="1"/>
  <c r="E77" i="20" s="1"/>
  <c r="E17" i="19" s="1"/>
  <c r="F14" i="18"/>
  <c r="D80" i="20"/>
  <c r="F59" i="18"/>
  <c r="L26" i="10"/>
  <c r="C19" i="18"/>
  <c r="C35" i="18" s="1"/>
  <c r="E54" i="14"/>
  <c r="F8" i="11" s="1"/>
  <c r="F99" i="20"/>
  <c r="F134" i="14"/>
  <c r="N16" i="10"/>
  <c r="L16" i="10"/>
  <c r="L12" i="10"/>
  <c r="F51" i="18"/>
  <c r="C54" i="14"/>
  <c r="D8" i="11" s="1"/>
  <c r="C134" i="14"/>
  <c r="D134" i="14"/>
  <c r="G40" i="19"/>
  <c r="C77" i="14"/>
  <c r="D40" i="19"/>
  <c r="D91" i="14" s="1"/>
  <c r="F19" i="11"/>
  <c r="C65" i="18"/>
  <c r="C97" i="14" s="1"/>
  <c r="F85" i="20"/>
  <c r="F50" i="20"/>
  <c r="F57" i="14" s="1"/>
  <c r="G57" i="14" s="1"/>
  <c r="F37" i="19"/>
  <c r="D81" i="20"/>
  <c r="G81" i="20"/>
  <c r="E18" i="11"/>
  <c r="M84" i="9"/>
  <c r="I80" i="20"/>
  <c r="F54" i="20"/>
  <c r="F27" i="19"/>
  <c r="F85" i="14" s="1"/>
  <c r="G85" i="14" s="1"/>
  <c r="J40" i="19"/>
  <c r="D35" i="18"/>
  <c r="F42" i="18"/>
  <c r="G50" i="18"/>
  <c r="M62" i="10"/>
  <c r="F19" i="19"/>
  <c r="F77" i="14" s="1"/>
  <c r="E81" i="20"/>
  <c r="C81" i="20"/>
  <c r="N27" i="10"/>
  <c r="AA37" i="9"/>
  <c r="F88" i="20"/>
  <c r="F89" i="20"/>
  <c r="C48" i="18"/>
  <c r="C96" i="14" s="1"/>
  <c r="D19" i="11"/>
  <c r="D123" i="14"/>
  <c r="E134" i="14"/>
  <c r="F9" i="21"/>
  <c r="F7" i="3"/>
  <c r="G18" i="11" s="1"/>
  <c r="E19" i="11"/>
  <c r="F129" i="14"/>
  <c r="F125" i="14"/>
  <c r="F37" i="18"/>
  <c r="F26" i="18"/>
  <c r="F8" i="18"/>
  <c r="F32" i="19"/>
  <c r="F86" i="14" s="1"/>
  <c r="I61" i="20"/>
  <c r="I84" i="20" s="1"/>
  <c r="F57" i="18"/>
  <c r="N20" i="10"/>
  <c r="L20" i="10"/>
  <c r="E80" i="20"/>
  <c r="D18" i="11"/>
  <c r="J66" i="18" l="1"/>
  <c r="J69" i="18" s="1"/>
  <c r="F58" i="14"/>
  <c r="G58" i="14" s="1"/>
  <c r="H58" i="14" s="1"/>
  <c r="I58" i="14" s="1"/>
  <c r="F81" i="20"/>
  <c r="I90" i="20"/>
  <c r="F53" i="14"/>
  <c r="G53" i="14" s="1"/>
  <c r="F18" i="20"/>
  <c r="F61" i="20" s="1"/>
  <c r="F72" i="20" s="1"/>
  <c r="F77" i="20" s="1"/>
  <c r="F17" i="19" s="1"/>
  <c r="V42" i="9"/>
  <c r="V67" i="9"/>
  <c r="G56" i="14"/>
  <c r="H56" i="14" s="1"/>
  <c r="I56" i="14" s="1"/>
  <c r="G86" i="14"/>
  <c r="G91" i="14" s="1"/>
  <c r="C84" i="20"/>
  <c r="C90" i="20" s="1"/>
  <c r="C60" i="14" s="1"/>
  <c r="D14" i="11" s="1"/>
  <c r="G61" i="14"/>
  <c r="H77" i="14"/>
  <c r="I84" i="14"/>
  <c r="I77" i="14" s="1"/>
  <c r="I52" i="14"/>
  <c r="I61" i="14" s="1"/>
  <c r="H61" i="14"/>
  <c r="H57" i="14"/>
  <c r="I57" i="14" s="1"/>
  <c r="H66" i="14"/>
  <c r="I66" i="14" s="1"/>
  <c r="H55" i="14"/>
  <c r="I55" i="14" s="1"/>
  <c r="G84" i="20"/>
  <c r="G90" i="20" s="1"/>
  <c r="D84" i="20"/>
  <c r="D90" i="20" s="1"/>
  <c r="D60" i="14" s="1"/>
  <c r="D61" i="14" s="1"/>
  <c r="H72" i="20"/>
  <c r="H77" i="20" s="1"/>
  <c r="H17" i="19" s="1"/>
  <c r="D59" i="14"/>
  <c r="D68" i="14" s="1"/>
  <c r="D73" i="14" s="1"/>
  <c r="E11" i="11" s="1"/>
  <c r="F48" i="18"/>
  <c r="F96" i="14" s="1"/>
  <c r="G51" i="23"/>
  <c r="D51" i="23" s="1"/>
  <c r="H66" i="18"/>
  <c r="H69" i="18" s="1"/>
  <c r="H85" i="14"/>
  <c r="E59" i="14"/>
  <c r="E68" i="14" s="1"/>
  <c r="E73" i="14" s="1"/>
  <c r="F11" i="11" s="1"/>
  <c r="D66" i="18"/>
  <c r="D69" i="18" s="1"/>
  <c r="I89" i="14"/>
  <c r="I86" i="14" s="1"/>
  <c r="F50" i="18"/>
  <c r="F19" i="18"/>
  <c r="F35" i="18"/>
  <c r="F95" i="14" s="1"/>
  <c r="E95" i="14"/>
  <c r="E99" i="14" s="1"/>
  <c r="E66" i="18"/>
  <c r="E84" i="20"/>
  <c r="E90" i="20" s="1"/>
  <c r="E60" i="14" s="1"/>
  <c r="E61" i="14" s="1"/>
  <c r="D95" i="14"/>
  <c r="D99" i="14" s="1"/>
  <c r="F40" i="19"/>
  <c r="F91" i="14" s="1"/>
  <c r="F80" i="20"/>
  <c r="C59" i="14"/>
  <c r="C68" i="14" s="1"/>
  <c r="C73" i="14" s="1"/>
  <c r="D11" i="11" s="1"/>
  <c r="I72" i="20"/>
  <c r="I77" i="20" s="1"/>
  <c r="I17" i="19" s="1"/>
  <c r="I66" i="18"/>
  <c r="I69" i="18" s="1"/>
  <c r="F101" i="14"/>
  <c r="G101" i="14" s="1"/>
  <c r="G65" i="18"/>
  <c r="G66" i="18" s="1"/>
  <c r="G69" i="18" s="1"/>
  <c r="J17" i="19"/>
  <c r="J84" i="20"/>
  <c r="J90" i="20" s="1"/>
  <c r="C95" i="14"/>
  <c r="C99" i="14" s="1"/>
  <c r="C66" i="18"/>
  <c r="C69" i="18" s="1"/>
  <c r="F139" i="14"/>
  <c r="N24" i="10"/>
  <c r="F54" i="14" l="1"/>
  <c r="F59" i="14" s="1"/>
  <c r="F68" i="14" s="1"/>
  <c r="F73" i="14" s="1"/>
  <c r="D9" i="11"/>
  <c r="F84" i="20"/>
  <c r="F90" i="20" s="1"/>
  <c r="F60" i="14" s="1"/>
  <c r="F61" i="14" s="1"/>
  <c r="V68" i="9"/>
  <c r="C61" i="14"/>
  <c r="E9" i="11"/>
  <c r="E14" i="11"/>
  <c r="D104" i="14"/>
  <c r="D103" i="14"/>
  <c r="D105" i="14"/>
  <c r="E10" i="11"/>
  <c r="L68" i="9"/>
  <c r="G68" i="9"/>
  <c r="E12" i="11"/>
  <c r="Q68" i="9"/>
  <c r="F65" i="18"/>
  <c r="F97" i="14" s="1"/>
  <c r="F99" i="14" s="1"/>
  <c r="G50" i="23"/>
  <c r="G5" i="23" s="1"/>
  <c r="G19" i="11"/>
  <c r="H101" i="14"/>
  <c r="I101" i="14" s="1"/>
  <c r="D12" i="11"/>
  <c r="C105" i="14"/>
  <c r="F10" i="11"/>
  <c r="E105" i="14"/>
  <c r="E103" i="14"/>
  <c r="H91" i="14"/>
  <c r="I85" i="14"/>
  <c r="I91" i="14" s="1"/>
  <c r="E104" i="14"/>
  <c r="C104" i="14"/>
  <c r="F12" i="11"/>
  <c r="H53" i="14"/>
  <c r="G54" i="14"/>
  <c r="G59" i="14" s="1"/>
  <c r="G68" i="14" s="1"/>
  <c r="G73" i="14" s="1"/>
  <c r="G103" i="14" s="1"/>
  <c r="F9" i="11"/>
  <c r="F14" i="11"/>
  <c r="D10" i="11"/>
  <c r="C103" i="14"/>
  <c r="G8" i="11" l="1"/>
  <c r="G11" i="11"/>
  <c r="G12" i="11"/>
  <c r="F103" i="14"/>
  <c r="F104" i="14"/>
  <c r="G10" i="11"/>
  <c r="F105" i="14"/>
  <c r="AA68" i="9"/>
  <c r="D50" i="23"/>
  <c r="F66" i="18"/>
  <c r="F69" i="18" s="1"/>
  <c r="G9" i="11"/>
  <c r="H54" i="14"/>
  <c r="H59" i="14" s="1"/>
  <c r="H68" i="14" s="1"/>
  <c r="H73" i="14" s="1"/>
  <c r="H103" i="14" s="1"/>
  <c r="I53" i="14"/>
  <c r="I54" i="14" s="1"/>
  <c r="I59" i="14" s="1"/>
  <c r="I68" i="14" s="1"/>
  <c r="I73" i="14" s="1"/>
  <c r="I103" i="14" s="1"/>
  <c r="G14" i="11"/>
  <c r="D65" i="23"/>
  <c r="D5" i="23" l="1"/>
  <c r="D76" i="23" l="1"/>
  <c r="D73" i="23"/>
</calcChain>
</file>

<file path=xl/sharedStrings.xml><?xml version="1.0" encoding="utf-8"?>
<sst xmlns="http://schemas.openxmlformats.org/spreadsheetml/2006/main" count="1676" uniqueCount="753">
  <si>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</si>
  <si>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</si>
  <si>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</si>
  <si>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</si>
  <si>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</si>
  <si>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</si>
  <si>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</si>
  <si>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</si>
  <si>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</si>
  <si>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</si>
  <si>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</si>
  <si>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</si>
  <si>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</si>
  <si>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</si>
  <si>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</si>
  <si>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</si>
  <si>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</si>
  <si>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</si>
  <si>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</si>
  <si>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</si>
  <si>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</si>
  <si>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</si>
  <si>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</si>
  <si>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</si>
  <si>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</si>
  <si>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</si>
  <si>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</si>
  <si>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</si>
  <si>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</si>
  <si>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</si>
  <si>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</si>
  <si>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</si>
  <si>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</si>
  <si>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</si>
  <si>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</si>
  <si>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</si>
  <si>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</si>
  <si>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</si>
  <si>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</si>
  <si>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</si>
  <si>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</si>
  <si>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</si>
  <si>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</si>
  <si>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</si>
  <si>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</si>
  <si>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</si>
  <si>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</si>
  <si>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</si>
  <si>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</si>
  <si>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</si>
  <si>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</si>
  <si>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</si>
  <si>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</si>
  <si>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</si>
  <si>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</si>
  <si>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</si>
  <si>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</si>
  <si>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</si>
  <si>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</si>
  <si>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</si>
  <si>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</si>
  <si>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</si>
  <si>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</si>
  <si>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</si>
  <si>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</si>
  <si>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</si>
  <si>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</si>
  <si>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</si>
  <si>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</si>
  <si>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</si>
  <si>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</si>
  <si>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</si>
  <si>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</si>
  <si>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</si>
  <si>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</si>
  <si>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</si>
  <si>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</si>
  <si>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</si>
  <si>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</si>
  <si>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</si>
  <si>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Заборгованість на останню дату</t>
  </si>
  <si>
    <t>Заборгованість за кредитами на початок ______ року</t>
  </si>
  <si>
    <t>Заборгованість за кредитами на кінець ______ року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</si>
  <si>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</si>
  <si>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</si>
  <si>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</si>
  <si>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</si>
  <si>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</si>
  <si>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</si>
  <si>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</si>
  <si>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</si>
  <si>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</si>
  <si>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</si>
  <si>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</si>
  <si>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</si>
  <si>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</si>
  <si>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</si>
  <si>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</si>
  <si>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</si>
  <si>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</si>
  <si>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</si>
  <si>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</si>
  <si>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</si>
  <si>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</si>
  <si>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</si>
  <si>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</si>
  <si>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</si>
  <si>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</si>
  <si>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</si>
  <si>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</si>
  <si>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</si>
  <si>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</si>
  <si>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</si>
  <si>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</si>
  <si>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</si>
  <si>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</si>
  <si>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</si>
  <si>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</si>
  <si>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</si>
  <si>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</si>
  <si>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</si>
  <si>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</si>
  <si>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</si>
  <si>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</si>
  <si>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</si>
  <si>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</si>
  <si>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</si>
  <si>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</si>
  <si>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</si>
  <si>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</si>
  <si>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</si>
  <si>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</si>
  <si>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</si>
  <si>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</si>
  <si>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</si>
  <si>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</si>
  <si>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</si>
  <si>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</si>
  <si>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</si>
  <si>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</si>
  <si>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</si>
  <si>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</si>
  <si>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</si>
  <si>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</si>
  <si>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</si>
  <si>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</si>
  <si>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</si>
  <si>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</si>
  <si>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</si>
  <si>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</si>
  <si>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</si>
  <si>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</si>
  <si>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</si>
  <si>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</si>
  <si>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</si>
  <si>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</si>
  <si>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</si>
  <si>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</si>
  <si>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</si>
  <si>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</si>
  <si>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</si>
  <si>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</si>
  <si>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</si>
  <si>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</si>
  <si>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</si>
  <si>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</si>
  <si>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</si>
  <si>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</si>
  <si>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</si>
  <si>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</si>
  <si>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</si>
  <si>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</si>
  <si>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</si>
  <si>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</si>
  <si>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</si>
  <si>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</si>
  <si>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</si>
  <si>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</si>
  <si>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</si>
  <si>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</si>
  <si>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</si>
  <si>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</si>
  <si>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</si>
  <si>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</si>
  <si>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</si>
  <si>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</si>
  <si>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Плановий рік до факту минулого року, %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</si>
  <si>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</si>
  <si>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</si>
  <si>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</si>
  <si>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</si>
  <si>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                    (підпис)</t>
  </si>
  <si>
    <t xml:space="preserve">                                        (посада)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</si>
  <si>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</si>
  <si>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</si>
  <si>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</si>
  <si>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</si>
  <si>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</si>
  <si>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</si>
  <si>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</si>
  <si>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</si>
  <si>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</si>
  <si>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</si>
  <si>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</si>
  <si>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</si>
  <si>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</si>
  <si>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</si>
  <si>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</si>
  <si>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</si>
  <si>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</si>
  <si>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</si>
  <si>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</si>
  <si>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</si>
  <si>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</si>
  <si>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</si>
  <si>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</si>
  <si>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</si>
  <si>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</si>
  <si>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</si>
  <si>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</si>
  <si>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</si>
  <si>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</si>
  <si>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</si>
  <si>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</si>
  <si>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</si>
  <si>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</si>
  <si>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</si>
  <si>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</si>
  <si>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</si>
  <si>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</si>
  <si>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</si>
  <si>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</si>
  <si>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</si>
  <si>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</si>
  <si>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</si>
  <si>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</si>
  <si>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</si>
  <si>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</si>
  <si>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</si>
  <si>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</si>
  <si>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</si>
  <si>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</si>
  <si>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</si>
  <si>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</si>
  <si>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</si>
  <si>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</si>
  <si>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</si>
  <si>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</si>
  <si>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</si>
  <si>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</si>
  <si>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</si>
  <si>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</si>
  <si>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</si>
  <si>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</si>
  <si>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</si>
  <si>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</si>
  <si>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</si>
  <si>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</si>
  <si>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</si>
  <si>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</si>
  <si>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</si>
  <si>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</si>
  <si>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</si>
  <si>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</si>
  <si>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</si>
  <si>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</si>
  <si>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</si>
  <si>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</si>
  <si>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</si>
  <si>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</si>
  <si>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</si>
  <si>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</si>
  <si>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</si>
  <si>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</si>
  <si>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</si>
  <si>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</si>
  <si>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</si>
  <si>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</si>
  <si>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</si>
  <si>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</si>
  <si>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</si>
  <si>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</si>
  <si>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</si>
  <si>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</si>
  <si>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</si>
  <si>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</si>
  <si>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</si>
  <si>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</si>
  <si>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</si>
  <si>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</si>
  <si>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</si>
  <si>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</si>
  <si>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</si>
  <si>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</si>
  <si>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</si>
  <si>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</si>
  <si>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</si>
  <si>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</si>
  <si>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</si>
  <si>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</si>
  <si>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</si>
  <si>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</si>
  <si>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</si>
  <si>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</si>
  <si>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</si>
  <si>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</si>
  <si>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Плановий рік до плану
поточного року, %</t>
  </si>
  <si>
    <t>Плановий рік до факту
минулого року, %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</si>
  <si>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</si>
  <si>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</si>
  <si>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</si>
  <si>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</si>
  <si>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</si>
  <si>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</si>
  <si>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</si>
  <si>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</si>
  <si>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</si>
  <si>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</si>
  <si>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</si>
  <si>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</si>
  <si>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</si>
  <si>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</si>
  <si>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</si>
  <si>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</si>
  <si>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</si>
  <si>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</si>
  <si>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</si>
  <si>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</si>
  <si>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</si>
  <si>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</si>
  <si>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</si>
  <si>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</si>
  <si>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</si>
  <si>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</si>
  <si>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</si>
  <si>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</si>
  <si>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</si>
  <si>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</si>
  <si>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</si>
  <si>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</si>
  <si>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</si>
  <si>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</si>
  <si>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</si>
  <si>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</si>
  <si>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</si>
  <si>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</si>
  <si>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</si>
  <si>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</si>
  <si>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</si>
  <si>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</si>
  <si>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</si>
  <si>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</si>
  <si>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</si>
  <si>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</si>
  <si>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</si>
  <si>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</si>
  <si>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</si>
  <si>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</si>
  <si>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</si>
  <si>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</si>
  <si>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</si>
  <si>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</si>
  <si>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</si>
  <si>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</si>
  <si>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у тому числі за основними видами діяльності за КВЕД (розшифрувати)</t>
  </si>
  <si>
    <t>РОЗГЛЯНУТО</t>
  </si>
  <si>
    <t>ПОГОДЖЕНО:</t>
  </si>
  <si>
    <t xml:space="preserve">    </t>
  </si>
  <si>
    <t>Плановий рік (зазначити рік)</t>
  </si>
  <si>
    <t>факт
минулого року (зазначити рік)</t>
  </si>
  <si>
    <t>фінансовий план
поточного року (зазначити рік)</t>
  </si>
  <si>
    <t>плановий рік (зазначити рік)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</si>
  <si>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</si>
  <si>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</si>
  <si>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</si>
  <si>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</si>
  <si>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</si>
  <si>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</si>
  <si>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Надходження коштів з міського бюджету</t>
  </si>
  <si>
    <t>VІІ. Розподіл коштів, отриманих з міського бюджету на поповнення Статутного капіталу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</si>
  <si>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</si>
  <si>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</si>
  <si>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</si>
  <si>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</si>
  <si>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>комунальними підприємствами до міського бюджету</t>
  </si>
  <si>
    <t>Інші податки, збори та платежі,
усього, у тому числі:</t>
  </si>
  <si>
    <t>відрахування частини чистого прибутку 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</si>
  <si>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</si>
  <si>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</si>
  <si>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</si>
  <si>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</si>
  <si>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</si>
  <si>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</si>
  <si>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</si>
  <si>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</si>
  <si>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</si>
  <si>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</si>
  <si>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</si>
  <si>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</si>
  <si>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</si>
  <si>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</si>
  <si>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</si>
  <si>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</si>
  <si>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</si>
  <si>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</si>
  <si>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</si>
  <si>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</si>
  <si>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</si>
  <si>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t xml:space="preserve"> </t>
  </si>
  <si>
    <t>саніттарний транспорт</t>
  </si>
  <si>
    <t xml:space="preserve">           </t>
  </si>
  <si>
    <t>інші податки та збори (військовий збір)</t>
  </si>
  <si>
    <t>інші податки, збори та платежі (профвнески)</t>
  </si>
  <si>
    <t>Загальна медична практика</t>
  </si>
  <si>
    <t>Директор департаменту охорони здоров'я Вінницької міської ради</t>
  </si>
  <si>
    <t>Директор департаменту економіки і інвестицій Вінницької міської ради</t>
  </si>
  <si>
    <t>Директор департаменту фінансів Вінницької міської ради</t>
  </si>
  <si>
    <t>Охорона здоров'я</t>
  </si>
  <si>
    <t xml:space="preserve">            (посада)</t>
  </si>
  <si>
    <t xml:space="preserve">Додаток </t>
  </si>
  <si>
    <t>до рішення виконавчого комітету міської ради</t>
  </si>
  <si>
    <t>від _______________________ № ___________</t>
  </si>
  <si>
    <t xml:space="preserve">М. П. </t>
  </si>
  <si>
    <t>Шиш О.В.</t>
  </si>
  <si>
    <t>Погосян В.В.</t>
  </si>
  <si>
    <t>Комунальне некомерційне підприємство</t>
  </si>
  <si>
    <t>м.Вінниця</t>
  </si>
  <si>
    <t>тис.грн.</t>
  </si>
  <si>
    <t xml:space="preserve">Комунальна </t>
  </si>
  <si>
    <t xml:space="preserve">Найменування видів діяльності </t>
  </si>
  <si>
    <t>86.21</t>
  </si>
  <si>
    <t>Департамент охорони здоров'я Вінницька міська рада</t>
  </si>
  <si>
    <t xml:space="preserve">В.о. керуючого справами виконкому </t>
  </si>
  <si>
    <t>С.Чорнолуцький</t>
  </si>
  <si>
    <t xml:space="preserve"> (підпис)</t>
  </si>
  <si>
    <t xml:space="preserve"> (посада)</t>
  </si>
  <si>
    <t>Плановий рік до очікуваного на поточний рік, %</t>
  </si>
  <si>
    <t>Луценко Н.Д.</t>
  </si>
  <si>
    <t>тис. грн</t>
  </si>
  <si>
    <t>№ пп</t>
  </si>
  <si>
    <t>І. Рух коштів у результаті операційної діяльності</t>
  </si>
  <si>
    <t>Надходження грошових коштів від операційної діяльності, в т.ч.:</t>
  </si>
  <si>
    <t>Цільове фінансування:</t>
  </si>
  <si>
    <t>1.1</t>
  </si>
  <si>
    <t>1.2</t>
  </si>
  <si>
    <t>2</t>
  </si>
  <si>
    <t>Інші надходження:</t>
  </si>
  <si>
    <t>2.1</t>
  </si>
  <si>
    <t>Видатки грошових коштів від операційної діяльності, в т.ч.:</t>
  </si>
  <si>
    <t xml:space="preserve">Інші  платежі </t>
  </si>
  <si>
    <t>Військовий збір (1,5%)</t>
  </si>
  <si>
    <t>Єдиний соціальний внесок (22%)</t>
  </si>
  <si>
    <t>№
з/п</t>
  </si>
  <si>
    <t>ДОХОДИ</t>
  </si>
  <si>
    <t>Чистий дохід від реалізації продукції (товарів, робіт, послуг), в т.ч.:</t>
  </si>
  <si>
    <t>1.</t>
  </si>
  <si>
    <t>Інші операційні доходи, в т.ч.:</t>
  </si>
  <si>
    <t>2.</t>
  </si>
  <si>
    <t>3.</t>
  </si>
  <si>
    <t>4.</t>
  </si>
  <si>
    <t>нарахування амортизації на безоплатно отримані активи</t>
  </si>
  <si>
    <t>Витрати на службові автомобілі, в т.ч.:</t>
  </si>
  <si>
    <t>запчастини</t>
  </si>
  <si>
    <t>ремонт і обслуговування автомобілів</t>
  </si>
  <si>
    <t>Страхові послуги, в т.ч.:</t>
  </si>
  <si>
    <t>страхування автотранспорту</t>
  </si>
  <si>
    <t>страхування на випадок СНІДу та гепатиту</t>
  </si>
  <si>
    <t>Витрати на зв'язок, в т.ч.:</t>
  </si>
  <si>
    <t>телекомунікаційні послуги</t>
  </si>
  <si>
    <t>Інші адміністративні витрати, в т.ч: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</si>
  <si>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</si>
  <si>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</si>
  <si>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</si>
  <si>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ВСЬОГО ВИТРАТ:</t>
  </si>
  <si>
    <t>Собівартість реалізованої продукції (товарів, робіт, послуг):</t>
  </si>
  <si>
    <t>Адміністративні витрати:</t>
  </si>
  <si>
    <t>витрати на зв"язок</t>
  </si>
  <si>
    <t>інші адміністративні витрати: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</si>
  <si>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</si>
  <si>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</si>
  <si>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</si>
  <si>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3.1.1</t>
  </si>
  <si>
    <t xml:space="preserve">Кошти орендарів (відшкодування за енергоносії): </t>
  </si>
  <si>
    <t xml:space="preserve">  </t>
  </si>
  <si>
    <t xml:space="preserve">оплата теплопостачання </t>
  </si>
  <si>
    <t xml:space="preserve">вивіз  сміття </t>
  </si>
  <si>
    <t>5.</t>
  </si>
  <si>
    <t>6.</t>
  </si>
  <si>
    <t>Нарахована амортизація на безоплатно отримані активи</t>
  </si>
  <si>
    <t>інші платежі (розшифрувати)</t>
  </si>
  <si>
    <t xml:space="preserve">Загальна медична практика </t>
  </si>
  <si>
    <t>ВИТРАТИ</t>
  </si>
  <si>
    <t>2.2.</t>
  </si>
  <si>
    <t>за рахунок медичної субвенції з державного бюджету</t>
  </si>
  <si>
    <t>1.1.</t>
  </si>
  <si>
    <t>1.2.</t>
  </si>
  <si>
    <t>1.3.</t>
  </si>
  <si>
    <t>Профсоюзні внески (1%)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</si>
  <si>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</si>
  <si>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</si>
  <si>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</si>
  <si>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</si>
  <si>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Придбання основних засобів</t>
  </si>
  <si>
    <t>Всього основних засобів</t>
  </si>
  <si>
    <t>Всього інших необоротних активів</t>
  </si>
  <si>
    <t>Разом</t>
  </si>
  <si>
    <t>Придбання інших необоротних активів</t>
  </si>
  <si>
    <t>оплата газу</t>
  </si>
  <si>
    <t>-</t>
  </si>
  <si>
    <t xml:space="preserve">Факт минулого 2017 року </t>
  </si>
  <si>
    <t xml:space="preserve">Фінансовий план поточного 2018 року </t>
  </si>
  <si>
    <t xml:space="preserve">Очікуваний показник до кінця поточного 2018 року </t>
  </si>
  <si>
    <t xml:space="preserve">Плановий 2019 рік </t>
  </si>
  <si>
    <t>плановий 2019 рік +1 рік</t>
  </si>
  <si>
    <t>плановий 2019рік +2 роки</t>
  </si>
  <si>
    <t>плановий 2019рік +3 роки</t>
  </si>
  <si>
    <t xml:space="preserve">Фінансовий план поточного 2018року </t>
  </si>
  <si>
    <t>Плановий показник поточного 2018  року</t>
  </si>
  <si>
    <t>Плановий 2019рік</t>
  </si>
  <si>
    <t>Фактичний показник за 2017 минулий рік</t>
  </si>
  <si>
    <t>Плановий рік (усього) (2019 рік)</t>
  </si>
  <si>
    <t>Плановий 2019 рік</t>
  </si>
  <si>
    <t>до фінансового плану на 2019 року</t>
  </si>
  <si>
    <t>2019 рік</t>
  </si>
  <si>
    <t>рік 2019</t>
  </si>
  <si>
    <t>Капітальні ремонти</t>
  </si>
  <si>
    <t>Всього капітальних видатків</t>
  </si>
  <si>
    <t>Банківські послуги</t>
  </si>
  <si>
    <t>Оплата за вивіз сміття</t>
  </si>
  <si>
    <t>2.1.</t>
  </si>
  <si>
    <t xml:space="preserve">плановий 2019 рік </t>
  </si>
  <si>
    <t xml:space="preserve">Фактичний показник поточного 2018 року </t>
  </si>
  <si>
    <t xml:space="preserve">за минулий 2017 рік </t>
  </si>
  <si>
    <t xml:space="preserve">за плановий 2019 рік </t>
  </si>
  <si>
    <t>Інші джерела (кошти НСЗУ)</t>
  </si>
  <si>
    <t xml:space="preserve">Бюджетне фінансування  </t>
  </si>
  <si>
    <t>Очікуваний показник до кінця 2018р.</t>
  </si>
  <si>
    <t>Програма "Стоп грип"</t>
  </si>
  <si>
    <t>Кошти медичної субвенції з державного бюджету</t>
  </si>
  <si>
    <t>2.1.2.</t>
  </si>
  <si>
    <t>2.2.2.</t>
  </si>
  <si>
    <t>2.2.5.</t>
  </si>
  <si>
    <t>інші адміністративні витрати, в т.ч.:</t>
  </si>
  <si>
    <t>2.3.</t>
  </si>
  <si>
    <t>3.1.</t>
  </si>
  <si>
    <t>3.2.</t>
  </si>
  <si>
    <t>7.</t>
  </si>
  <si>
    <t xml:space="preserve">Фінансовий план 2018р. </t>
  </si>
  <si>
    <t xml:space="preserve">Охоронна сигналізація </t>
  </si>
  <si>
    <t>страхування орендованого майна</t>
  </si>
  <si>
    <t>Ремонт медобладнаня</t>
  </si>
  <si>
    <t>Ремонт та обслуговування ліфтів</t>
  </si>
  <si>
    <t>Ремонт приміщень</t>
  </si>
  <si>
    <t>Повірка медобладнання</t>
  </si>
  <si>
    <t>Повірка лічильників, пожежних гідрантів</t>
  </si>
  <si>
    <t>Проїздні квитки</t>
  </si>
  <si>
    <t xml:space="preserve">Наркопрофогляд, медогляд, бакобстеження </t>
  </si>
  <si>
    <t>Вимірювання дози зовнішнього опромінення</t>
  </si>
  <si>
    <t>Медіа-супровід</t>
  </si>
  <si>
    <t>Засоби для прибирання та гігієни</t>
  </si>
  <si>
    <t>Захоронення медичних відходів</t>
  </si>
  <si>
    <t>Витратні матеріали для хворих, що знаходяться на лікуванні у відділенні анестезіології</t>
  </si>
  <si>
    <t>Витратні матеріали для хворих на цукровий діабет</t>
  </si>
  <si>
    <t>Харчування хворих</t>
  </si>
  <si>
    <t>Послуги з навчання</t>
  </si>
  <si>
    <t>Вимірювання опору</t>
  </si>
  <si>
    <t>Періодичні видання</t>
  </si>
  <si>
    <t>Дизельне паливо для генератора</t>
  </si>
  <si>
    <t>Вивіз сміття</t>
  </si>
  <si>
    <t>Зарплата персоналу молочної кухні</t>
  </si>
  <si>
    <t>Нарахування на зарплату персоналу молочної кухні</t>
  </si>
  <si>
    <t>Витрати на сировину для молочної кухні</t>
  </si>
  <si>
    <t>Медикаменти та перев'язувальні матеріали</t>
  </si>
  <si>
    <t>Витратні матеріали для молочної кухні</t>
  </si>
  <si>
    <t>Оплата природного газу</t>
  </si>
  <si>
    <t>ТО газопроводу</t>
  </si>
  <si>
    <t>Страхування приміщення</t>
  </si>
  <si>
    <t>Телекомунікаційні послуги</t>
  </si>
  <si>
    <t>Податки</t>
  </si>
  <si>
    <t>Відшкодування пільгових пенсій</t>
  </si>
  <si>
    <t>Заправка картриджів, ремонт комп'ютерної техніки</t>
  </si>
  <si>
    <t>Витратні матеріали для оргтехніки</t>
  </si>
  <si>
    <t>Створення структурованої кабельної системи, налаштування та вровадження програм ("Доктор Елекс")</t>
  </si>
  <si>
    <t>витратні матеріали для оргтехніки</t>
  </si>
  <si>
    <t>ремонт медобладнання</t>
  </si>
  <si>
    <t>Канцтовари (папір, марки, конверти, бланки медичні та бухгалтерські, дрібна канцелярія)</t>
  </si>
  <si>
    <t>Супровід програмного забезпечення (медичного, статистичного, бухгалтерського, касового апарату)</t>
  </si>
  <si>
    <t>супровід програмного забезпечення (медичного, статистичного, бухгалтерського, касового апарату)</t>
  </si>
  <si>
    <t>канцтовари (папір, марки, конверти, бланки медичні та бухгалтерські, дрібна канцелярія)</t>
  </si>
  <si>
    <t>господарські товари, техн. засоби, електрозберігаючі лампочки, вогнегасники</t>
  </si>
  <si>
    <t>періодичні видання</t>
  </si>
  <si>
    <t>ремонт та обслуговування ліфтів</t>
  </si>
  <si>
    <t>ремонт приміщень</t>
  </si>
  <si>
    <t>повірка медобладнання</t>
  </si>
  <si>
    <t xml:space="preserve">охоронна сигналізація </t>
  </si>
  <si>
    <t>дизельне паливо для генератора</t>
  </si>
  <si>
    <t>створення структурованої кабельної системи, налаштування та впровадження програм ("Доктор Елекс")</t>
  </si>
  <si>
    <t>програма "СТОП ГРИП"</t>
  </si>
  <si>
    <t>СУЯ</t>
  </si>
  <si>
    <t>Медичне транспортувння</t>
  </si>
  <si>
    <t>Утилізація</t>
  </si>
  <si>
    <t>Ремонт немедичного обладнання</t>
  </si>
  <si>
    <t>Благоустрій</t>
  </si>
  <si>
    <t>Запчастини до медичного обладнання</t>
  </si>
  <si>
    <t>Кошти отримані від реалізації продукції молочної кухні</t>
  </si>
  <si>
    <t>5.1.</t>
  </si>
  <si>
    <t>5.1.1.</t>
  </si>
  <si>
    <t>5.2.</t>
  </si>
  <si>
    <t>5.1.2.</t>
  </si>
  <si>
    <t>5.1.3.</t>
  </si>
  <si>
    <t>медикаменти та перев'язувальні матеріали</t>
  </si>
  <si>
    <t>заправка картриджів</t>
  </si>
  <si>
    <t>проїзні</t>
  </si>
  <si>
    <t>засоби для прибирання та гігієни</t>
  </si>
  <si>
    <t>6.1.</t>
  </si>
  <si>
    <t>8.</t>
  </si>
  <si>
    <t>5.3.</t>
  </si>
  <si>
    <t>В.П. Присяжнюк</t>
  </si>
  <si>
    <t xml:space="preserve"> кошти отримані від реалізації продукції молочної кухні</t>
  </si>
  <si>
    <t>кошти від іншої операційної діяльності (% на залишок коштів на поточних рахунках, відшкодування від страхових компаній)</t>
  </si>
  <si>
    <t>Податки та збори</t>
  </si>
  <si>
    <t>Соціальне забезпечення</t>
  </si>
  <si>
    <t>КНП"ВМКЛ"ЦМтаД"</t>
  </si>
  <si>
    <t>реконструкція та реставрація ЗОЗ</t>
  </si>
  <si>
    <t>придбання (створення) основних засобів (в т.ч. ІНМА)</t>
  </si>
  <si>
    <t>кошти отримані від реалізації продукції молочної кухні</t>
  </si>
  <si>
    <t>проведення капітальних ремонтів ЗОЗ(технагляд за кап.ремонтом)</t>
  </si>
  <si>
    <t xml:space="preserve">Видатки грошових коштів від інвестиційної  діяльності </t>
  </si>
  <si>
    <t>Інші витрати від інвестиційної діяльності</t>
  </si>
  <si>
    <t>реконструкція та реставрація ЗОЗ (модернізація)</t>
  </si>
  <si>
    <t>Джерело безперебійного живлення</t>
  </si>
  <si>
    <t>Стерилізатор паровий М5-ST</t>
  </si>
  <si>
    <t>Термостат сухоповітряний ТС-80</t>
  </si>
  <si>
    <t>Кухня</t>
  </si>
  <si>
    <t>Засіб КЗІ</t>
  </si>
  <si>
    <t>Чайник ел. Нерж. (8 шт.)</t>
  </si>
  <si>
    <t>Ел. Чайник (4 шт.)</t>
  </si>
  <si>
    <t>Ел. Плитка</t>
  </si>
  <si>
    <t>Гігрометр (7 шт)</t>
  </si>
  <si>
    <t>Шафа комбінована трьохдверна</t>
  </si>
  <si>
    <t>Подушка сил (3 шт.)</t>
  </si>
  <si>
    <t>Покривало 150*210 (3 шт.)</t>
  </si>
  <si>
    <t>Ковдра жак (3 шт)</t>
  </si>
  <si>
    <t>Матрац 80*190 (3 шт.)</t>
  </si>
  <si>
    <t>Халат хір. Мед.зел. Р 60-62 (30 шт)</t>
  </si>
  <si>
    <t>Пелюшки (60 шт)</t>
  </si>
  <si>
    <t>Простині дор. (10 шт.)</t>
  </si>
  <si>
    <t>Вогнегасники (5 шт.)</t>
  </si>
  <si>
    <t>Принтер Epson WorkForce Pro WF-M5190DW (18 шт.)</t>
  </si>
  <si>
    <t>Стіл обідній</t>
  </si>
  <si>
    <t>Тумба приліжкова (2 шт.)</t>
  </si>
  <si>
    <t>Ліжко</t>
  </si>
  <si>
    <t>Матрац</t>
  </si>
  <si>
    <t>Капітальний ремонт приміщень</t>
  </si>
  <si>
    <t>Господарські товари, техн. засоби, електрозберігаючі лампочки,  будівельні матеріали</t>
  </si>
  <si>
    <t>кошти державної медичної субвенції</t>
  </si>
  <si>
    <t>Виконавчі листи та аліменти</t>
  </si>
  <si>
    <t>Присяжнюк В.П.</t>
  </si>
  <si>
    <t>Зарплата допоміжного персоналу</t>
  </si>
  <si>
    <t>Нарахування на зарплату допоміжного персоналу</t>
  </si>
  <si>
    <t>Реконструкція будівлі пологового будинку (термомодернізація)  КНП "ВМКЛ "ЦМтаД" по вул. Маяковського,138 в м.Вінниці</t>
  </si>
  <si>
    <t>Реконструкція території насосної з улаштуванням приміщення для медичних відходів та тимчасової стоянки для автомобілів КНП "ВМКЛ "ЦМтаД" по вул.Маяковського,138 в м.Вінниці</t>
  </si>
  <si>
    <t>Автомобіль ІЖ-2715 (07-86)</t>
  </si>
  <si>
    <t>Автомобіль ГАЗ 2705-222</t>
  </si>
  <si>
    <t>Автомобіль ВАЗ 210700-20</t>
  </si>
  <si>
    <t>Автомобіль ІЖАС-27175</t>
  </si>
  <si>
    <t>Системний блок PRIME PC 5400/4/SSD240/250VS (27 шт.)</t>
  </si>
  <si>
    <t>2.4.</t>
  </si>
  <si>
    <t>2.5.</t>
  </si>
  <si>
    <t>2.1.1.</t>
  </si>
  <si>
    <t>2.1.3.</t>
  </si>
  <si>
    <t>2.1.4.</t>
  </si>
  <si>
    <t>2.2.1.</t>
  </si>
  <si>
    <t>м. Вінниця, вул.Маяковського,138</t>
  </si>
  <si>
    <t>ФІНАНСОВИЙ ПЛАН  комунального некомерційного підприємства "Вінницька міська клінічна лікарня "Центр матері та дитини"на 2019 рік</t>
  </si>
  <si>
    <t>(0432) 65-11-19</t>
  </si>
  <si>
    <t>Директор КНП "ВМКЛ "ЦМтаД"</t>
  </si>
  <si>
    <t>проведення капітальних ремонтів ЗОЗ</t>
  </si>
  <si>
    <t>Придбання гігрометрів, вогнегасників</t>
  </si>
  <si>
    <t>придбання моніторів, принтерів, системних блоків (Доктор Елекс"</t>
  </si>
  <si>
    <t>Придбання моніторів, системних блоків, принтерів</t>
  </si>
  <si>
    <t>кошти Вінницької міської ОТГ</t>
  </si>
  <si>
    <t xml:space="preserve">КОМУНАЛЬНЕ НЕКОМЕРЦІЙНЕ ПІДПРИЄМСТВО "ВІННИЦЬКА МІСЬКА КЛІНІЧНА ЛІКАРНЯ "ЦЕНТР МАТЕРІ ТА ДИТИНИ"  </t>
  </si>
  <si>
    <t xml:space="preserve">Розшифровка  №1  до Таблиці 1  "Формування фінансових результатів" </t>
  </si>
  <si>
    <t>кошти медичної субвенції з державного бюджету</t>
  </si>
  <si>
    <t>Розшифровка №2 до Таблиці 1 "Формування фінансових результатів" за джерелами доходів та використання коштів</t>
  </si>
  <si>
    <t>Кошти бюджету Вінницької міської об'єднаної територіальної громади</t>
  </si>
  <si>
    <t>Кошти від надання послуг з  медичної діяльності</t>
  </si>
  <si>
    <t>кошти бюджету Вінницької міської об'єднаної територіальної громади</t>
  </si>
  <si>
    <r>
      <t xml:space="preserve">кошти отримані від надання послуг </t>
    </r>
    <r>
      <rPr>
        <i/>
        <sz val="14"/>
        <rFont val="Times New Roman"/>
        <family val="1"/>
        <charset val="204"/>
      </rPr>
      <t>(палати, стажування інтернів, відшкодування від страхової компаної)</t>
    </r>
  </si>
  <si>
    <t>кошти, отримані від реалізації продукції молочної кухні</t>
  </si>
  <si>
    <t>відшкодування коштів орендарями за енергоносії</t>
  </si>
  <si>
    <t>надходження від відсотків за залишками коштів на поточних рахунках</t>
  </si>
  <si>
    <r>
      <t>інші доходи (</t>
    </r>
    <r>
      <rPr>
        <i/>
        <sz val="14"/>
        <rFont val="Times New Roman"/>
        <family val="1"/>
        <charset val="204"/>
      </rPr>
      <t>нарахування амортизації на безоплатно отримані активи</t>
    </r>
    <r>
      <rPr>
        <sz val="14"/>
        <rFont val="Times New Roman"/>
        <family val="1"/>
        <charset val="204"/>
      </rPr>
      <t>)</t>
    </r>
  </si>
  <si>
    <t>кошти від надання послуг з  медичної діяльності</t>
  </si>
  <si>
    <t>господарські товари, тех. засоби, енергозберігаючі лампочки, вогнегасники, будівельні матеріали</t>
  </si>
  <si>
    <t xml:space="preserve">наркопрофогляд, медогляд, бакобстеження </t>
  </si>
  <si>
    <t>придбання гігрометрів, вогнегасників</t>
  </si>
  <si>
    <t>зарплата персоналу молочної кухні</t>
  </si>
  <si>
    <t>нарахування на зарплату персоналу молочної кухні</t>
  </si>
  <si>
    <t>зарплата допоміжного персоналу</t>
  </si>
  <si>
    <t>нарахування на зарплату допоміжного персоналу</t>
  </si>
  <si>
    <t>витрати на сировину для молочної кухні</t>
  </si>
  <si>
    <t>харчування хворих</t>
  </si>
  <si>
    <t>відшкодування пільгових пенсій</t>
  </si>
  <si>
    <t>витратні матеріали для хворих, що знаходяться на лікуванні у відділенні анестезіології</t>
  </si>
  <si>
    <t>витратні матеріали для хворих на цукровий діабет</t>
  </si>
  <si>
    <t>кошти отримані від реалізації в установленому порядку майна (крім нерухомого майна)</t>
  </si>
  <si>
    <t>оплата за вивіз сміття</t>
  </si>
  <si>
    <t>заправка картриджів, ремонт комп'ютерної техніки</t>
  </si>
  <si>
    <t>вимірювання дози зовнішнього опромінення</t>
  </si>
  <si>
    <t>медіа-супровід</t>
  </si>
  <si>
    <t>банківські послуги</t>
  </si>
  <si>
    <t>господарські товари, техн. засоби, електрозберігаючі лампочки, вогнегасники, будівельні матеріали</t>
  </si>
  <si>
    <t>захоронення медичних відходів</t>
  </si>
  <si>
    <t>послуги з навчання</t>
  </si>
  <si>
    <t>витратні матеріали для молочної кухні</t>
  </si>
  <si>
    <t>оплата природного газу</t>
  </si>
  <si>
    <t>страхування приміщення</t>
  </si>
  <si>
    <t>вивіз сміття</t>
  </si>
  <si>
    <t>податки</t>
  </si>
  <si>
    <t>ремонт медобладнаня</t>
  </si>
  <si>
    <t>повірка лічильників, пожежних гідрантів</t>
  </si>
  <si>
    <t>вимірювання опору</t>
  </si>
  <si>
    <t>медичне транспортувння</t>
  </si>
  <si>
    <t>утилізація</t>
  </si>
  <si>
    <t>ремонт немедичного обладнання</t>
  </si>
  <si>
    <t>благоустрій</t>
  </si>
  <si>
    <t>запчастини до медичного обладнання</t>
  </si>
  <si>
    <t>8.1</t>
  </si>
  <si>
    <t>Плановий
 2019 рік</t>
  </si>
  <si>
    <t>це видаляємо</t>
  </si>
  <si>
    <t xml:space="preserve">це видаляємо </t>
  </si>
  <si>
    <t>це перейменовуємо</t>
  </si>
  <si>
    <t xml:space="preserve">Директор КНП  "ВМКЛ "ЦМтаД" 
</t>
  </si>
  <si>
    <t>Директор КНП "ВМКЛ"ЦМтаД"</t>
  </si>
  <si>
    <t>Директор КНП  "ВМКЛ "ЦМтаД"</t>
  </si>
  <si>
    <r>
      <t>Інші надходження (кошти бюджетів)</t>
    </r>
    <r>
      <rPr>
        <i/>
        <sz val="14"/>
        <rFont val="Times New Roman"/>
        <family val="1"/>
        <charset val="204"/>
      </rPr>
      <t xml:space="preserve"> </t>
    </r>
  </si>
  <si>
    <t>кап рем рекон</t>
  </si>
  <si>
    <t>Монітор LCD DELL 21,5'E2216HV D-Sub+клавіатура+мишка (27 шт.)</t>
  </si>
  <si>
    <t>Інші надходження (кошти бюджетів)</t>
  </si>
  <si>
    <t>бюджет ОТГ</t>
  </si>
  <si>
    <t>Кошти від власних надходжень (палати, стажування інтернів, відшкодування від страхової компанії)</t>
  </si>
  <si>
    <t>4</t>
  </si>
  <si>
    <t>3.1.3.</t>
  </si>
  <si>
    <t>Директор КНП  "ВМКЛ"ЦМтаД"</t>
  </si>
  <si>
    <t xml:space="preserve">Розшифровка до Таблиці №3 Рух грошових коштів (за прямим методом)  КНП "ВМКЛ"ЦМтаД" </t>
  </si>
  <si>
    <t>Комунального некомерційного підприємства "Вінницької міської клінічної лікарні "Центр матері та дитини"</t>
  </si>
  <si>
    <t xml:space="preserve"> кошти отримані від релізації в установленому порядку майна (крім нерухомого майна)</t>
  </si>
  <si>
    <t>кошти  отримані від наданих послуг (палати, стажування інтернів, відшкодування від страхової компанії</t>
  </si>
  <si>
    <t>Придбання ОЗ та ІНМА</t>
  </si>
  <si>
    <t>Витрати на реконструкцію та капітальний ремонт</t>
  </si>
  <si>
    <t>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</si>
</sst>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0.000"/>
    <numFmt numFmtId="181" formatCode="_-* #,##0.0_₴_-;\-* #,##0.0_₴_-;_-* &quot;-&quot;?_₴_-;_-@_-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u/>
      <sz val="10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69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2" borderId="0" applyNumberFormat="0" applyBorder="0" applyAlignment="0" applyProtection="0"/>
    <xf numFmtId="0" fontId="18" fillId="12" borderId="0" applyNumberFormat="0" applyBorder="0" applyAlignment="0" applyProtection="0"/>
    <xf numFmtId="0" fontId="36" fillId="9" borderId="0" applyNumberFormat="0" applyBorder="0" applyAlignment="0" applyProtection="0"/>
    <xf numFmtId="0" fontId="18" fillId="9" borderId="0" applyNumberFormat="0" applyBorder="0" applyAlignment="0" applyProtection="0"/>
    <xf numFmtId="0" fontId="36" fillId="10" borderId="0" applyNumberFormat="0" applyBorder="0" applyAlignment="0" applyProtection="0"/>
    <xf numFmtId="0" fontId="18" fillId="10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9" fillId="3" borderId="0" applyNumberFormat="0" applyBorder="0" applyAlignment="0" applyProtection="0"/>
    <xf numFmtId="0" fontId="21" fillId="20" borderId="1" applyNumberFormat="0" applyAlignment="0" applyProtection="0"/>
    <xf numFmtId="0" fontId="26" fillId="21" borderId="2" applyNumberFormat="0" applyAlignment="0" applyProtection="0"/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165" fontId="15" fillId="0" borderId="0" applyFont="0" applyFill="0" applyBorder="0" applyAlignment="0" applyProtection="0"/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0" fontId="30" fillId="0" borderId="0" applyNumberFormat="0" applyFill="0" applyBorder="0" applyAlignment="0" applyProtection="0"/>
    <xf numFmtId="171" fontId="38" fillId="0" borderId="0" applyAlignment="0">
      <alignment wrapText="1"/>
    </xf>
    <xf numFmtId="0" fontId="33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40" fillId="22" borderId="7">
      <alignment horizontal="left" vertical="center"/>
      <protection locked="0"/>
    </xf>
    <xf numFmtId="49" fontId="40" fillId="22" borderId="7">
      <alignment horizontal="left" vertical="center"/>
    </xf>
    <xf numFmtId="4" fontId="40" fillId="22" borderId="7">
      <alignment horizontal="right" vertical="center"/>
      <protection locked="0"/>
    </xf>
    <xf numFmtId="4" fontId="40" fillId="22" borderId="7">
      <alignment horizontal="right" vertical="center"/>
    </xf>
    <xf numFmtId="4" fontId="41" fillId="22" borderId="7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7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7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46" fillId="22" borderId="3">
      <alignment horizontal="left" vertical="center"/>
      <protection locked="0"/>
    </xf>
    <xf numFmtId="49" fontId="46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" fontId="49" fillId="0" borderId="3">
      <alignment horizontal="right" vertical="center"/>
      <protection locked="0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9" fontId="51" fillId="0" borderId="3">
      <alignment horizontal="left" vertical="center"/>
      <protection locked="0"/>
    </xf>
    <xf numFmtId="49" fontId="51" fillId="0" borderId="3">
      <alignment horizontal="left" vertical="center"/>
    </xf>
    <xf numFmtId="4" fontId="50" fillId="0" borderId="3">
      <alignment horizontal="right" vertical="center"/>
      <protection locked="0"/>
    </xf>
    <xf numFmtId="4" fontId="50" fillId="0" borderId="3">
      <alignment horizontal="right" vertical="center"/>
    </xf>
    <xf numFmtId="49" fontId="48" fillId="0" borderId="3">
      <alignment horizontal="left" vertical="center"/>
      <protection locked="0"/>
    </xf>
    <xf numFmtId="49" fontId="49" fillId="0" borderId="3">
      <alignment horizontal="left" vertical="center"/>
      <protection locked="0"/>
    </xf>
    <xf numFmtId="4" fontId="48" fillId="0" borderId="3">
      <alignment horizontal="right" vertical="center"/>
      <protection locked="0"/>
    </xf>
    <xf numFmtId="0" fontId="31" fillId="0" borderId="8" applyNumberFormat="0" applyFill="0" applyAlignment="0" applyProtection="0"/>
    <xf numFmtId="0" fontId="28" fillId="23" borderId="0" applyNumberFormat="0" applyBorder="0" applyAlignment="0" applyProtection="0"/>
    <xf numFmtId="0" fontId="15" fillId="0" borderId="0"/>
    <xf numFmtId="0" fontId="15" fillId="0" borderId="0"/>
    <xf numFmtId="0" fontId="1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2" fillId="26" borderId="3">
      <alignment horizontal="right" vertical="center"/>
      <protection locked="0"/>
    </xf>
    <xf numFmtId="4" fontId="52" fillId="27" borderId="3">
      <alignment horizontal="right" vertical="center"/>
      <protection locked="0"/>
    </xf>
    <xf numFmtId="4" fontId="52" fillId="28" borderId="3">
      <alignment horizontal="right" vertical="center"/>
      <protection locked="0"/>
    </xf>
    <xf numFmtId="0" fontId="20" fillId="20" borderId="10" applyNumberFormat="0" applyAlignment="0" applyProtection="0"/>
    <xf numFmtId="49" fontId="37" fillId="0" borderId="3">
      <alignment horizontal="left" vertical="center" wrapText="1"/>
      <protection locked="0"/>
    </xf>
    <xf numFmtId="49" fontId="37" fillId="0" borderId="3">
      <alignment horizontal="left" vertical="center" wrapText="1"/>
      <protection locked="0"/>
    </xf>
    <xf numFmtId="0" fontId="2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18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7" borderId="0" applyNumberFormat="0" applyBorder="0" applyAlignment="0" applyProtection="0"/>
    <xf numFmtId="0" fontId="36" fillId="18" borderId="0" applyNumberFormat="0" applyBorder="0" applyAlignment="0" applyProtection="0"/>
    <xf numFmtId="0" fontId="18" fillId="18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9" borderId="0" applyNumberFormat="0" applyBorder="0" applyAlignment="0" applyProtection="0"/>
    <xf numFmtId="0" fontId="18" fillId="19" borderId="0" applyNumberFormat="0" applyBorder="0" applyAlignment="0" applyProtection="0"/>
    <xf numFmtId="0" fontId="53" fillId="7" borderId="1" applyNumberFormat="0" applyAlignment="0" applyProtection="0"/>
    <xf numFmtId="0" fontId="19" fillId="7" borderId="1" applyNumberFormat="0" applyAlignment="0" applyProtection="0"/>
    <xf numFmtId="0" fontId="54" fillId="20" borderId="10" applyNumberFormat="0" applyAlignment="0" applyProtection="0"/>
    <xf numFmtId="0" fontId="20" fillId="20" borderId="10" applyNumberFormat="0" applyAlignment="0" applyProtection="0"/>
    <xf numFmtId="0" fontId="55" fillId="20" borderId="1" applyNumberFormat="0" applyAlignment="0" applyProtection="0"/>
    <xf numFmtId="0" fontId="21" fillId="20" borderId="1" applyNumberFormat="0" applyAlignment="0" applyProtection="0"/>
    <xf numFmtId="172" fontId="15" fillId="0" borderId="0" applyFont="0" applyFill="0" applyBorder="0" applyAlignment="0" applyProtection="0"/>
    <xf numFmtId="0" fontId="56" fillId="0" borderId="4" applyNumberFormat="0" applyFill="0" applyAlignment="0" applyProtection="0"/>
    <xf numFmtId="0" fontId="22" fillId="0" borderId="4" applyNumberFormat="0" applyFill="0" applyAlignment="0" applyProtection="0"/>
    <xf numFmtId="0" fontId="57" fillId="0" borderId="5" applyNumberFormat="0" applyFill="0" applyAlignment="0" applyProtection="0"/>
    <xf numFmtId="0" fontId="23" fillId="0" borderId="5" applyNumberFormat="0" applyFill="0" applyAlignment="0" applyProtection="0"/>
    <xf numFmtId="0" fontId="58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25" fillId="0" borderId="11" applyNumberFormat="0" applyFill="0" applyAlignment="0" applyProtection="0"/>
    <xf numFmtId="0" fontId="60" fillId="21" borderId="2" applyNumberFormat="0" applyAlignment="0" applyProtection="0"/>
    <xf numFmtId="0" fontId="26" fillId="21" borderId="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5" fillId="0" borderId="0"/>
    <xf numFmtId="0" fontId="2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5" fillId="0" borderId="0" applyNumberFormat="0" applyFont="0" applyFill="0" applyBorder="0" applyAlignment="0" applyProtection="0">
      <alignment vertical="top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25" borderId="9" applyNumberFormat="0" applyFont="0" applyAlignment="0" applyProtection="0"/>
    <xf numFmtId="0" fontId="1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8" applyNumberFormat="0" applyFill="0" applyAlignment="0" applyProtection="0"/>
    <xf numFmtId="0" fontId="31" fillId="0" borderId="8" applyNumberFormat="0" applyFill="0" applyAlignment="0" applyProtection="0"/>
    <xf numFmtId="0" fontId="3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9" fillId="4" borderId="0" applyNumberFormat="0" applyBorder="0" applyAlignment="0" applyProtection="0"/>
    <xf numFmtId="0" fontId="33" fillId="4" borderId="0" applyNumberFormat="0" applyBorder="0" applyAlignment="0" applyProtection="0"/>
    <xf numFmtId="176" fontId="70" fillId="22" borderId="12" applyFill="0" applyBorder="0">
      <alignment horizontal="center" vertical="center" wrapText="1"/>
      <protection locked="0"/>
    </xf>
    <xf numFmtId="171" fontId="71" fillId="0" borderId="0">
      <alignment wrapText="1"/>
    </xf>
    <xf numFmtId="171" fontId="38" fillId="0" borderId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2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70" fontId="7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Alignment="1">
      <alignment vertical="center"/>
    </xf>
    <xf numFmtId="0" fontId="14" fillId="0" borderId="0" xfId="0" applyFont="1" applyFill="1"/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9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7" fillId="0" borderId="0" xfId="245" applyFont="1" applyFill="1"/>
    <xf numFmtId="0" fontId="7" fillId="0" borderId="0" xfId="0" applyFont="1" applyFill="1" applyAlignment="1">
      <alignment vertical="center"/>
    </xf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3" xfId="237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horizontal="right" vertical="center"/>
    </xf>
    <xf numFmtId="0" fontId="5" fillId="22" borderId="0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left" vertical="center"/>
    </xf>
    <xf numFmtId="0" fontId="5" fillId="22" borderId="0" xfId="0" applyFont="1" applyFill="1" applyAlignment="1">
      <alignment horizontal="left" vertical="center"/>
    </xf>
    <xf numFmtId="0" fontId="5" fillId="22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22" borderId="0" xfId="0" applyFont="1" applyFill="1" applyAlignment="1">
      <alignment horizontal="left" vertical="center"/>
    </xf>
    <xf numFmtId="0" fontId="5" fillId="22" borderId="19" xfId="0" applyFont="1" applyFill="1" applyBorder="1" applyAlignment="1">
      <alignment horizontal="left" vertical="center"/>
    </xf>
    <xf numFmtId="0" fontId="5" fillId="22" borderId="0" xfId="0" applyFont="1" applyFill="1" applyAlignment="1">
      <alignment vertical="center"/>
    </xf>
    <xf numFmtId="0" fontId="5" fillId="22" borderId="18" xfId="0" applyFont="1" applyFill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8" fillId="22" borderId="0" xfId="0" applyFont="1" applyFill="1" applyAlignment="1">
      <alignment vertical="center"/>
    </xf>
    <xf numFmtId="0" fontId="8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horizontal="right" vertical="center" wrapText="1"/>
    </xf>
    <xf numFmtId="0" fontId="0" fillId="0" borderId="0" xfId="0" applyFill="1"/>
    <xf numFmtId="0" fontId="5" fillId="22" borderId="3" xfId="245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245" applyFont="1" applyFill="1" applyBorder="1" applyAlignment="1">
      <alignment horizontal="right" vertical="center"/>
    </xf>
    <xf numFmtId="0" fontId="5" fillId="22" borderId="3" xfId="182" applyFont="1" applyFill="1" applyBorder="1" applyAlignment="1">
      <alignment vertical="center" wrapText="1"/>
      <protection locked="0"/>
    </xf>
    <xf numFmtId="0" fontId="5" fillId="22" borderId="3" xfId="0" applyFont="1" applyFill="1" applyBorder="1" applyAlignment="1">
      <alignment horizontal="center" vertical="center"/>
    </xf>
    <xf numFmtId="173" fontId="5" fillId="22" borderId="3" xfId="0" applyNumberFormat="1" applyFont="1" applyFill="1" applyBorder="1" applyAlignment="1">
      <alignment horizontal="center" vertical="center" wrapText="1"/>
    </xf>
    <xf numFmtId="0" fontId="4" fillId="22" borderId="3" xfId="182" applyFont="1" applyFill="1" applyBorder="1" applyAlignment="1">
      <alignment vertical="center" wrapText="1"/>
      <protection locked="0"/>
    </xf>
    <xf numFmtId="173" fontId="4" fillId="22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vertical="center" wrapText="1"/>
    </xf>
    <xf numFmtId="0" fontId="4" fillId="22" borderId="3" xfId="0" applyFont="1" applyFill="1" applyBorder="1" applyAlignment="1" applyProtection="1">
      <alignment vertical="center" wrapText="1"/>
      <protection locked="0"/>
    </xf>
    <xf numFmtId="179" fontId="4" fillId="22" borderId="3" xfId="0" applyNumberFormat="1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245" applyFont="1" applyFill="1" applyBorder="1" applyAlignment="1">
      <alignment horizontal="left" vertical="center" wrapText="1"/>
    </xf>
    <xf numFmtId="0" fontId="5" fillId="22" borderId="3" xfId="245" applyFont="1" applyFill="1" applyBorder="1" applyAlignment="1">
      <alignment horizontal="center" vertical="center"/>
    </xf>
    <xf numFmtId="0" fontId="5" fillId="22" borderId="3" xfId="0" applyFont="1" applyFill="1" applyBorder="1" applyAlignment="1" applyProtection="1">
      <alignment horizontal="left" vertical="center" wrapText="1"/>
      <protection locked="0"/>
    </xf>
    <xf numFmtId="0" fontId="4" fillId="22" borderId="3" xfId="0" applyFont="1" applyFill="1" applyBorder="1" applyAlignment="1" applyProtection="1">
      <alignment horizontal="left" vertical="center" wrapText="1"/>
      <protection locked="0"/>
    </xf>
    <xf numFmtId="0" fontId="4" fillId="22" borderId="20" xfId="0" applyFont="1" applyFill="1" applyBorder="1" applyAlignment="1" applyProtection="1">
      <alignment horizontal="left" vertical="center" wrapText="1"/>
      <protection locked="0"/>
    </xf>
    <xf numFmtId="170" fontId="5" fillId="22" borderId="3" xfId="0" applyNumberFormat="1" applyFont="1" applyFill="1" applyBorder="1" applyAlignment="1">
      <alignment horizontal="center" vertical="center" wrapText="1"/>
    </xf>
    <xf numFmtId="0" fontId="5" fillId="22" borderId="17" xfId="0" quotePrefix="1" applyFont="1" applyFill="1" applyBorder="1" applyAlignment="1">
      <alignment horizontal="center" vertical="center"/>
    </xf>
    <xf numFmtId="0" fontId="4" fillId="22" borderId="17" xfId="0" applyFont="1" applyFill="1" applyBorder="1" applyAlignment="1" applyProtection="1">
      <alignment horizontal="left" vertical="center" wrapText="1"/>
      <protection locked="0"/>
    </xf>
    <xf numFmtId="0" fontId="5" fillId="22" borderId="20" xfId="0" applyFont="1" applyFill="1" applyBorder="1" applyAlignment="1" applyProtection="1">
      <alignment horizontal="left" vertical="center" wrapText="1"/>
      <protection locked="0"/>
    </xf>
    <xf numFmtId="0" fontId="5" fillId="22" borderId="20" xfId="0" applyFont="1" applyFill="1" applyBorder="1" applyAlignment="1">
      <alignment horizontal="center" vertical="center"/>
    </xf>
    <xf numFmtId="169" fontId="5" fillId="22" borderId="3" xfId="237" applyNumberFormat="1" applyFont="1" applyFill="1" applyBorder="1" applyAlignment="1">
      <alignment horizontal="center" vertical="center" wrapText="1"/>
    </xf>
    <xf numFmtId="0" fontId="5" fillId="22" borderId="17" xfId="0" applyFont="1" applyFill="1" applyBorder="1" applyAlignment="1" applyProtection="1">
      <alignment horizontal="left" vertical="center" wrapText="1"/>
      <protection locked="0"/>
    </xf>
    <xf numFmtId="0" fontId="5" fillId="22" borderId="17" xfId="0" applyFont="1" applyFill="1" applyBorder="1" applyAlignment="1">
      <alignment horizontal="center" vertical="center"/>
    </xf>
    <xf numFmtId="49" fontId="5" fillId="22" borderId="20" xfId="0" applyNumberFormat="1" applyFont="1" applyFill="1" applyBorder="1" applyAlignment="1">
      <alignment horizontal="center" vertical="center"/>
    </xf>
    <xf numFmtId="49" fontId="5" fillId="22" borderId="3" xfId="0" applyNumberFormat="1" applyFont="1" applyFill="1" applyBorder="1" applyAlignment="1">
      <alignment horizontal="center" vertical="center"/>
    </xf>
    <xf numFmtId="49" fontId="5" fillId="22" borderId="17" xfId="0" applyNumberFormat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5" fillId="22" borderId="0" xfId="0" quotePrefix="1" applyFont="1" applyFill="1" applyBorder="1" applyAlignment="1">
      <alignment horizontal="center" vertical="center"/>
    </xf>
    <xf numFmtId="170" fontId="7" fillId="22" borderId="0" xfId="0" applyNumberFormat="1" applyFont="1" applyFill="1" applyBorder="1" applyAlignment="1">
      <alignment vertical="center"/>
    </xf>
    <xf numFmtId="0" fontId="4" fillId="22" borderId="3" xfId="0" applyFont="1" applyFill="1" applyBorder="1" applyAlignment="1">
      <alignment horizontal="center" vertical="center"/>
    </xf>
    <xf numFmtId="0" fontId="4" fillId="22" borderId="3" xfId="245" applyFont="1" applyFill="1" applyBorder="1" applyAlignment="1">
      <alignment horizontal="center" vertical="center"/>
    </xf>
    <xf numFmtId="0" fontId="5" fillId="22" borderId="0" xfId="245" applyFont="1" applyFill="1" applyBorder="1" applyAlignment="1">
      <alignment horizontal="left" vertical="center" wrapText="1"/>
    </xf>
    <xf numFmtId="0" fontId="5" fillId="22" borderId="0" xfId="245" applyFont="1" applyFill="1" applyBorder="1" applyAlignment="1">
      <alignment horizontal="center" vertical="center"/>
    </xf>
    <xf numFmtId="170" fontId="5" fillId="22" borderId="0" xfId="245" applyNumberFormat="1" applyFont="1" applyFill="1" applyBorder="1" applyAlignment="1">
      <alignment horizontal="center" vertical="center" wrapText="1"/>
    </xf>
    <xf numFmtId="170" fontId="5" fillId="22" borderId="0" xfId="245" applyNumberFormat="1" applyFont="1" applyFill="1" applyBorder="1" applyAlignment="1">
      <alignment horizontal="right" vertical="center" wrapText="1"/>
    </xf>
    <xf numFmtId="0" fontId="5" fillId="22" borderId="0" xfId="245" applyFont="1" applyFill="1" applyBorder="1" applyAlignment="1">
      <alignment vertical="center" wrapText="1"/>
    </xf>
    <xf numFmtId="0" fontId="5" fillId="22" borderId="0" xfId="245" applyFont="1" applyFill="1" applyBorder="1" applyAlignment="1">
      <alignment vertical="center"/>
    </xf>
    <xf numFmtId="0" fontId="4" fillId="22" borderId="14" xfId="245" applyFont="1" applyFill="1" applyBorder="1" applyAlignment="1">
      <alignment horizontal="left" vertical="center" wrapText="1"/>
    </xf>
    <xf numFmtId="0" fontId="4" fillId="22" borderId="13" xfId="245" applyFont="1" applyFill="1" applyBorder="1" applyAlignment="1">
      <alignment horizontal="left" vertical="center" wrapText="1"/>
    </xf>
    <xf numFmtId="0" fontId="4" fillId="22" borderId="15" xfId="245" applyFont="1" applyFill="1" applyBorder="1" applyAlignment="1">
      <alignment horizontal="left" vertical="center" wrapText="1"/>
    </xf>
    <xf numFmtId="0" fontId="4" fillId="22" borderId="20" xfId="0" applyFont="1" applyFill="1" applyBorder="1" applyAlignment="1">
      <alignment horizontal="left" vertical="center" wrapText="1"/>
    </xf>
    <xf numFmtId="0" fontId="4" fillId="22" borderId="20" xfId="0" quotePrefix="1" applyFont="1" applyFill="1" applyBorder="1" applyAlignment="1">
      <alignment horizontal="center" vertical="center"/>
    </xf>
    <xf numFmtId="0" fontId="4" fillId="22" borderId="17" xfId="245" applyFont="1" applyFill="1" applyBorder="1" applyAlignment="1">
      <alignment horizontal="left" vertical="center" wrapText="1"/>
    </xf>
    <xf numFmtId="0" fontId="4" fillId="22" borderId="17" xfId="0" quotePrefix="1" applyFont="1" applyFill="1" applyBorder="1" applyAlignment="1">
      <alignment horizontal="center" vertical="center"/>
    </xf>
    <xf numFmtId="0" fontId="4" fillId="22" borderId="0" xfId="0" quotePrefix="1" applyFont="1" applyFill="1" applyBorder="1" applyAlignment="1">
      <alignment horizontal="center" vertical="center"/>
    </xf>
    <xf numFmtId="169" fontId="4" fillId="22" borderId="0" xfId="0" applyNumberFormat="1" applyFont="1" applyFill="1" applyBorder="1" applyAlignment="1">
      <alignment horizontal="center" vertical="center" wrapText="1"/>
    </xf>
    <xf numFmtId="169" fontId="4" fillId="22" borderId="0" xfId="0" applyNumberFormat="1" applyFont="1" applyFill="1" applyBorder="1" applyAlignment="1">
      <alignment horizontal="right" vertical="center" wrapText="1"/>
    </xf>
    <xf numFmtId="169" fontId="4" fillId="22" borderId="0" xfId="0" applyNumberFormat="1" applyFont="1" applyFill="1" applyBorder="1" applyAlignment="1">
      <alignment horizontal="right" vertical="center"/>
    </xf>
    <xf numFmtId="0" fontId="5" fillId="22" borderId="3" xfId="0" quotePrefix="1" applyNumberFormat="1" applyFont="1" applyFill="1" applyBorder="1" applyAlignment="1">
      <alignment horizontal="center" vertical="center" wrapText="1"/>
    </xf>
    <xf numFmtId="0" fontId="5" fillId="22" borderId="3" xfId="0" applyNumberFormat="1" applyFont="1" applyFill="1" applyBorder="1" applyAlignment="1">
      <alignment horizontal="center" vertical="center" wrapText="1"/>
    </xf>
    <xf numFmtId="3" fontId="5" fillId="22" borderId="0" xfId="0" applyNumberFormat="1" applyFont="1" applyFill="1" applyBorder="1" applyAlignment="1">
      <alignment vertical="center"/>
    </xf>
    <xf numFmtId="0" fontId="5" fillId="22" borderId="3" xfId="237" applyFont="1" applyFill="1" applyBorder="1" applyAlignment="1">
      <alignment horizontal="center" vertical="center"/>
    </xf>
    <xf numFmtId="0" fontId="4" fillId="22" borderId="3" xfId="237" applyFont="1" applyFill="1" applyBorder="1" applyAlignment="1">
      <alignment horizontal="left" vertical="center"/>
    </xf>
    <xf numFmtId="0" fontId="5" fillId="22" borderId="3" xfId="237" applyNumberFormat="1" applyFont="1" applyFill="1" applyBorder="1" applyAlignment="1">
      <alignment horizontal="center" vertical="center" wrapText="1"/>
    </xf>
    <xf numFmtId="49" fontId="5" fillId="22" borderId="3" xfId="237" applyNumberFormat="1" applyFont="1" applyFill="1" applyBorder="1" applyAlignment="1">
      <alignment horizontal="left" vertical="center" wrapText="1"/>
    </xf>
    <xf numFmtId="0" fontId="5" fillId="22" borderId="3" xfId="237" applyFont="1" applyFill="1" applyBorder="1" applyAlignment="1">
      <alignment horizontal="center" vertical="center" wrapText="1"/>
    </xf>
    <xf numFmtId="0" fontId="14" fillId="22" borderId="0" xfId="0" applyFont="1" applyFill="1"/>
    <xf numFmtId="0" fontId="5" fillId="22" borderId="0" xfId="0" applyFont="1" applyFill="1" applyBorder="1"/>
    <xf numFmtId="0" fontId="5" fillId="22" borderId="0" xfId="0" applyFont="1" applyFill="1" applyBorder="1" applyAlignment="1">
      <alignment horizontal="left" vertical="center" wrapText="1" shrinkToFit="1"/>
    </xf>
    <xf numFmtId="0" fontId="12" fillId="22" borderId="0" xfId="0" applyFont="1" applyFill="1" applyBorder="1" applyAlignment="1">
      <alignment horizontal="center" vertical="center"/>
    </xf>
    <xf numFmtId="178" fontId="5" fillId="22" borderId="3" xfId="0" applyNumberFormat="1" applyFont="1" applyFill="1" applyBorder="1" applyAlignment="1">
      <alignment horizontal="center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170" fontId="4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177" fontId="4" fillId="22" borderId="3" xfId="0" applyNumberFormat="1" applyFont="1" applyFill="1" applyBorder="1" applyAlignment="1">
      <alignment horizontal="center" vertical="center" wrapText="1"/>
    </xf>
    <xf numFmtId="1" fontId="5" fillId="22" borderId="0" xfId="0" applyNumberFormat="1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vertical="center"/>
    </xf>
    <xf numFmtId="0" fontId="12" fillId="22" borderId="0" xfId="0" applyFont="1" applyFill="1" applyAlignment="1">
      <alignment vertical="center"/>
    </xf>
    <xf numFmtId="0" fontId="10" fillId="22" borderId="0" xfId="0" applyFont="1" applyFill="1" applyAlignment="1">
      <alignment horizontal="center" vertical="center"/>
    </xf>
    <xf numFmtId="0" fontId="11" fillId="22" borderId="0" xfId="0" applyFont="1" applyFill="1" applyBorder="1" applyAlignment="1">
      <alignment vertical="center"/>
    </xf>
    <xf numFmtId="0" fontId="4" fillId="22" borderId="0" xfId="0" applyFont="1" applyFill="1" applyBorder="1" applyAlignment="1">
      <alignment horizontal="right" vertical="center"/>
    </xf>
    <xf numFmtId="170" fontId="5" fillId="22" borderId="0" xfId="0" applyNumberFormat="1" applyFont="1" applyFill="1" applyAlignment="1">
      <alignment vertical="center"/>
    </xf>
    <xf numFmtId="0" fontId="5" fillId="22" borderId="0" xfId="0" applyFont="1" applyFill="1" applyAlignment="1">
      <alignment horizontal="right" vertical="center"/>
    </xf>
    <xf numFmtId="0" fontId="12" fillId="22" borderId="3" xfId="0" applyFont="1" applyFill="1" applyBorder="1" applyAlignment="1">
      <alignment horizontal="center" vertical="center" wrapText="1" shrinkToFit="1"/>
    </xf>
    <xf numFmtId="0" fontId="12" fillId="22" borderId="14" xfId="0" applyFont="1" applyFill="1" applyBorder="1" applyAlignment="1">
      <alignment horizontal="center" vertical="center" wrapText="1" shrinkToFit="1"/>
    </xf>
    <xf numFmtId="170" fontId="4" fillId="22" borderId="0" xfId="0" applyNumberFormat="1" applyFont="1" applyFill="1" applyBorder="1" applyAlignment="1">
      <alignment horizontal="center" vertical="center" wrapText="1"/>
    </xf>
    <xf numFmtId="170" fontId="4" fillId="22" borderId="0" xfId="0" applyNumberFormat="1" applyFont="1" applyFill="1" applyBorder="1" applyAlignment="1">
      <alignment horizontal="center" vertical="center"/>
    </xf>
    <xf numFmtId="3" fontId="12" fillId="22" borderId="3" xfId="0" applyNumberFormat="1" applyFont="1" applyFill="1" applyBorder="1" applyAlignment="1">
      <alignment horizontal="center" vertical="center" wrapText="1" shrinkToFit="1"/>
    </xf>
    <xf numFmtId="0" fontId="12" fillId="22" borderId="3" xfId="0" applyFont="1" applyFill="1" applyBorder="1" applyAlignment="1">
      <alignment horizontal="left" vertical="center" wrapText="1" shrinkToFit="1"/>
    </xf>
    <xf numFmtId="0" fontId="14" fillId="22" borderId="0" xfId="0" applyFont="1" applyFill="1" applyAlignment="1">
      <alignment horizontal="right" vertical="center"/>
    </xf>
    <xf numFmtId="169" fontId="5" fillId="22" borderId="3" xfId="0" applyNumberFormat="1" applyFont="1" applyFill="1" applyBorder="1" applyAlignment="1">
      <alignment horizontal="center" vertical="center" wrapText="1"/>
    </xf>
    <xf numFmtId="169" fontId="5" fillId="22" borderId="0" xfId="0" applyNumberFormat="1" applyFont="1" applyFill="1" applyBorder="1" applyAlignment="1">
      <alignment horizontal="center" vertical="center" wrapText="1"/>
    </xf>
    <xf numFmtId="0" fontId="17" fillId="22" borderId="0" xfId="0" applyFont="1" applyFill="1" applyAlignment="1">
      <alignment vertical="center"/>
    </xf>
    <xf numFmtId="3" fontId="5" fillId="22" borderId="3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/>
    <xf numFmtId="0" fontId="5" fillId="22" borderId="0" xfId="0" applyFont="1" applyFill="1" applyBorder="1" applyAlignment="1">
      <alignment horizontal="center"/>
    </xf>
    <xf numFmtId="0" fontId="5" fillId="22" borderId="0" xfId="0" applyFont="1" applyFill="1" applyBorder="1" applyAlignment="1"/>
    <xf numFmtId="0" fontId="7" fillId="22" borderId="0" xfId="0" applyFont="1" applyFill="1" applyAlignment="1">
      <alignment horizontal="center" vertical="center"/>
    </xf>
    <xf numFmtId="0" fontId="5" fillId="22" borderId="0" xfId="0" applyFont="1" applyFill="1" applyAlignment="1">
      <alignment vertical="center" wrapText="1" shrinkToFit="1"/>
    </xf>
    <xf numFmtId="0" fontId="5" fillId="22" borderId="0" xfId="0" applyFont="1" applyFill="1" applyBorder="1" applyAlignment="1">
      <alignment vertical="center" wrapText="1" shrinkToFit="1"/>
    </xf>
    <xf numFmtId="0" fontId="5" fillId="22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0" fontId="0" fillId="22" borderId="18" xfId="0" applyFill="1" applyBorder="1" applyAlignment="1">
      <alignment horizontal="left" vertical="center" wrapText="1"/>
    </xf>
    <xf numFmtId="0" fontId="4" fillId="22" borderId="0" xfId="0" applyFont="1" applyFill="1" applyBorder="1" applyAlignment="1">
      <alignment vertical="center"/>
    </xf>
    <xf numFmtId="0" fontId="4" fillId="22" borderId="18" xfId="0" applyFont="1" applyFill="1" applyBorder="1" applyAlignment="1">
      <alignment horizontal="right" vertical="center"/>
    </xf>
    <xf numFmtId="0" fontId="6" fillId="22" borderId="0" xfId="0" applyFont="1" applyFill="1" applyBorder="1" applyAlignment="1">
      <alignment vertical="center"/>
    </xf>
    <xf numFmtId="0" fontId="6" fillId="22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1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70" fontId="76" fillId="22" borderId="0" xfId="0" applyNumberFormat="1" applyFont="1" applyFill="1" applyAlignment="1">
      <alignment horizontal="center" vertical="center"/>
    </xf>
    <xf numFmtId="169" fontId="4" fillId="22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83" fillId="0" borderId="0" xfId="0" applyFont="1"/>
    <xf numFmtId="179" fontId="77" fillId="22" borderId="3" xfId="0" applyNumberFormat="1" applyFont="1" applyFill="1" applyBorder="1" applyAlignment="1">
      <alignment horizontal="center" vertical="center" wrapText="1"/>
    </xf>
    <xf numFmtId="169" fontId="75" fillId="29" borderId="3" xfId="237" applyNumberFormat="1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left" vertical="center" wrapText="1"/>
    </xf>
    <xf numFmtId="170" fontId="5" fillId="22" borderId="0" xfId="0" applyNumberFormat="1" applyFont="1" applyFill="1" applyBorder="1" applyAlignment="1">
      <alignment horizontal="center" vertical="center" wrapText="1"/>
    </xf>
    <xf numFmtId="170" fontId="12" fillId="0" borderId="3" xfId="0" applyNumberFormat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/>
    </xf>
    <xf numFmtId="169" fontId="75" fillId="22" borderId="3" xfId="237" applyNumberFormat="1" applyFont="1" applyFill="1" applyBorder="1" applyAlignment="1">
      <alignment horizontal="center" vertical="center" wrapText="1"/>
    </xf>
    <xf numFmtId="49" fontId="5" fillId="22" borderId="0" xfId="0" applyNumberFormat="1" applyFont="1" applyFill="1" applyBorder="1" applyAlignment="1">
      <alignment horizontal="center" vertical="center"/>
    </xf>
    <xf numFmtId="179" fontId="75" fillId="22" borderId="0" xfId="0" applyNumberFormat="1" applyFont="1" applyFill="1" applyBorder="1" applyAlignment="1">
      <alignment horizontal="center" vertical="center" wrapText="1"/>
    </xf>
    <xf numFmtId="179" fontId="5" fillId="22" borderId="0" xfId="0" applyNumberFormat="1" applyFont="1" applyFill="1" applyBorder="1" applyAlignment="1">
      <alignment horizontal="center" vertical="center" wrapText="1"/>
    </xf>
    <xf numFmtId="179" fontId="5" fillId="29" borderId="0" xfId="0" applyNumberFormat="1" applyFont="1" applyFill="1" applyBorder="1" applyAlignment="1">
      <alignment vertical="center" wrapText="1"/>
    </xf>
    <xf numFmtId="173" fontId="5" fillId="29" borderId="14" xfId="0" applyNumberFormat="1" applyFont="1" applyFill="1" applyBorder="1" applyAlignment="1">
      <alignment horizontal="center" vertical="center" wrapText="1"/>
    </xf>
    <xf numFmtId="170" fontId="12" fillId="0" borderId="3" xfId="0" applyNumberFormat="1" applyFont="1" applyFill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69" fontId="5" fillId="29" borderId="3" xfId="0" applyNumberFormat="1" applyFont="1" applyFill="1" applyBorder="1" applyAlignment="1">
      <alignment horizontal="center" vertical="center" wrapText="1"/>
    </xf>
    <xf numFmtId="169" fontId="4" fillId="29" borderId="3" xfId="0" applyNumberFormat="1" applyFont="1" applyFill="1" applyBorder="1" applyAlignment="1">
      <alignment horizontal="center" vertical="center" wrapText="1"/>
    </xf>
    <xf numFmtId="3" fontId="5" fillId="29" borderId="20" xfId="0" applyNumberFormat="1" applyFont="1" applyFill="1" applyBorder="1" applyAlignment="1">
      <alignment horizontal="center" vertical="center" wrapText="1"/>
    </xf>
    <xf numFmtId="169" fontId="5" fillId="29" borderId="2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179" fontId="84" fillId="22" borderId="3" xfId="0" applyNumberFormat="1" applyFont="1" applyFill="1" applyBorder="1" applyAlignment="1">
      <alignment horizontal="center" vertical="center" wrapText="1"/>
    </xf>
    <xf numFmtId="179" fontId="85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/>
    </xf>
    <xf numFmtId="0" fontId="4" fillId="22" borderId="3" xfId="245" applyFont="1" applyFill="1" applyBorder="1" applyAlignment="1">
      <alignment horizontal="left" vertical="center" wrapText="1"/>
    </xf>
    <xf numFmtId="179" fontId="4" fillId="22" borderId="13" xfId="245" applyNumberFormat="1" applyFont="1" applyFill="1" applyBorder="1" applyAlignment="1">
      <alignment horizontal="left" vertical="center" wrapText="1"/>
    </xf>
    <xf numFmtId="179" fontId="4" fillId="22" borderId="15" xfId="245" applyNumberFormat="1" applyFont="1" applyFill="1" applyBorder="1" applyAlignment="1">
      <alignment horizontal="left" vertical="center" wrapText="1"/>
    </xf>
    <xf numFmtId="179" fontId="75" fillId="22" borderId="3" xfId="237" applyNumberFormat="1" applyFont="1" applyFill="1" applyBorder="1" applyAlignment="1">
      <alignment horizontal="center" vertical="center" wrapText="1"/>
    </xf>
    <xf numFmtId="179" fontId="85" fillId="22" borderId="3" xfId="237" applyNumberFormat="1" applyFont="1" applyFill="1" applyBorder="1" applyAlignment="1">
      <alignment horizontal="center" vertical="center" wrapText="1"/>
    </xf>
    <xf numFmtId="179" fontId="85" fillId="0" borderId="3" xfId="237" applyNumberFormat="1" applyFont="1" applyFill="1" applyBorder="1" applyAlignment="1">
      <alignment horizontal="center" vertical="center" wrapText="1"/>
    </xf>
    <xf numFmtId="169" fontId="12" fillId="0" borderId="3" xfId="0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81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/>
    <xf numFmtId="49" fontId="80" fillId="0" borderId="3" xfId="0" applyNumberFormat="1" applyFont="1" applyFill="1" applyBorder="1" applyAlignment="1">
      <alignment horizontal="center" vertical="center"/>
    </xf>
    <xf numFmtId="170" fontId="17" fillId="0" borderId="0" xfId="0" applyNumberFormat="1" applyFont="1" applyFill="1"/>
    <xf numFmtId="0" fontId="12" fillId="0" borderId="3" xfId="0" applyFont="1" applyFill="1" applyBorder="1" applyAlignment="1">
      <alignment horizontal="left" vertical="center" wrapText="1"/>
    </xf>
    <xf numFmtId="170" fontId="4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70" fontId="5" fillId="0" borderId="3" xfId="0" applyNumberFormat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181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22" borderId="0" xfId="0" applyFont="1" applyFill="1" applyBorder="1" applyAlignment="1">
      <alignment horizontal="left" vertical="center"/>
    </xf>
    <xf numFmtId="0" fontId="5" fillId="22" borderId="0" xfId="0" applyFont="1" applyFill="1" applyAlignment="1">
      <alignment horizontal="center" vertical="center"/>
    </xf>
    <xf numFmtId="0" fontId="5" fillId="22" borderId="0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3" fontId="5" fillId="22" borderId="3" xfId="0" applyNumberFormat="1" applyFont="1" applyFill="1" applyBorder="1" applyAlignment="1">
      <alignment horizontal="center" vertical="center" wrapText="1"/>
    </xf>
    <xf numFmtId="0" fontId="4" fillId="22" borderId="0" xfId="0" applyFont="1" applyFill="1" applyBorder="1" applyAlignment="1">
      <alignment horizontal="left" vertical="center" wrapText="1"/>
    </xf>
    <xf numFmtId="0" fontId="4" fillId="22" borderId="18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169" fontId="12" fillId="0" borderId="3" xfId="0" applyNumberFormat="1" applyFont="1" applyFill="1" applyBorder="1" applyAlignment="1">
      <alignment horizontal="center" vertical="center" wrapText="1"/>
    </xf>
    <xf numFmtId="169" fontId="12" fillId="0" borderId="20" xfId="0" applyNumberFormat="1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5" fillId="29" borderId="14" xfId="0" applyNumberFormat="1" applyFont="1" applyFill="1" applyBorder="1" applyAlignment="1">
      <alignment horizontal="left" vertical="center" wrapText="1"/>
    </xf>
    <xf numFmtId="49" fontId="5" fillId="29" borderId="13" xfId="0" applyNumberFormat="1" applyFont="1" applyFill="1" applyBorder="1" applyAlignment="1">
      <alignment horizontal="left" vertical="center" wrapText="1"/>
    </xf>
    <xf numFmtId="49" fontId="5" fillId="29" borderId="15" xfId="0" applyNumberFormat="1" applyFont="1" applyFill="1" applyBorder="1" applyAlignment="1">
      <alignment horizontal="left" vertical="center" wrapText="1"/>
    </xf>
    <xf numFmtId="0" fontId="79" fillId="0" borderId="0" xfId="0" applyFont="1" applyFill="1"/>
    <xf numFmtId="0" fontId="83" fillId="0" borderId="0" xfId="0" applyFont="1" applyFill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 shrinkToFit="1"/>
    </xf>
    <xf numFmtId="169" fontId="80" fillId="0" borderId="3" xfId="0" applyNumberFormat="1" applyFont="1" applyFill="1" applyBorder="1" applyAlignment="1">
      <alignment horizontal="center" vertical="center" wrapText="1"/>
    </xf>
    <xf numFmtId="169" fontId="80" fillId="0" borderId="3" xfId="0" applyNumberFormat="1" applyFont="1" applyFill="1" applyBorder="1" applyAlignment="1">
      <alignment horizontal="center" vertical="center" wrapText="1" shrinkToFit="1"/>
    </xf>
    <xf numFmtId="0" fontId="81" fillId="0" borderId="3" xfId="0" applyFont="1" applyFill="1" applyBorder="1" applyAlignment="1">
      <alignment horizontal="left" vertical="center"/>
    </xf>
    <xf numFmtId="169" fontId="81" fillId="0" borderId="3" xfId="0" applyNumberFormat="1" applyFont="1" applyFill="1" applyBorder="1" applyAlignment="1">
      <alignment horizontal="center" vertical="center" wrapText="1"/>
    </xf>
    <xf numFmtId="169" fontId="81" fillId="0" borderId="3" xfId="0" applyNumberFormat="1" applyFont="1" applyFill="1" applyBorder="1" applyAlignment="1">
      <alignment horizontal="center" vertical="center" wrapText="1" shrinkToFit="1"/>
    </xf>
    <xf numFmtId="169" fontId="82" fillId="0" borderId="3" xfId="0" applyNumberFormat="1" applyFont="1" applyFill="1" applyBorder="1" applyAlignment="1">
      <alignment horizontal="center" vertical="center" wrapText="1"/>
    </xf>
    <xf numFmtId="169" fontId="82" fillId="0" borderId="3" xfId="0" applyNumberFormat="1" applyFont="1" applyFill="1" applyBorder="1" applyAlignment="1">
      <alignment horizontal="center" vertical="center" wrapText="1" shrinkToFit="1"/>
    </xf>
    <xf numFmtId="169" fontId="12" fillId="0" borderId="3" xfId="0" applyNumberFormat="1" applyFont="1" applyFill="1" applyBorder="1" applyAlignment="1">
      <alignment horizontal="center" vertical="center" wrapText="1" shrinkToFit="1"/>
    </xf>
    <xf numFmtId="0" fontId="80" fillId="0" borderId="3" xfId="0" applyFont="1" applyFill="1" applyBorder="1" applyAlignment="1">
      <alignment horizontal="left" vertical="center"/>
    </xf>
    <xf numFmtId="0" fontId="81" fillId="0" borderId="3" xfId="0" applyFont="1" applyFill="1" applyBorder="1"/>
    <xf numFmtId="169" fontId="81" fillId="0" borderId="3" xfId="0" applyNumberFormat="1" applyFont="1" applyFill="1" applyBorder="1" applyAlignment="1">
      <alignment horizontal="center" vertical="center"/>
    </xf>
    <xf numFmtId="0" fontId="73" fillId="0" borderId="0" xfId="0" applyFont="1" applyFill="1"/>
    <xf numFmtId="0" fontId="0" fillId="0" borderId="3" xfId="0" applyFill="1" applyBorder="1"/>
    <xf numFmtId="169" fontId="80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81" fillId="0" borderId="3" xfId="0" applyFont="1" applyFill="1" applyBorder="1" applyAlignment="1">
      <alignment horizontal="center"/>
    </xf>
    <xf numFmtId="0" fontId="80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/>
    <xf numFmtId="169" fontId="12" fillId="0" borderId="0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Alignment="1">
      <alignment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 shrinkToFit="1"/>
    </xf>
    <xf numFmtId="170" fontId="77" fillId="22" borderId="3" xfId="0" applyNumberFormat="1" applyFont="1" applyFill="1" applyBorder="1" applyAlignment="1">
      <alignment horizontal="center" vertical="center" wrapText="1"/>
    </xf>
    <xf numFmtId="170" fontId="75" fillId="22" borderId="3" xfId="0" applyNumberFormat="1" applyFont="1" applyFill="1" applyBorder="1" applyAlignment="1">
      <alignment horizontal="center" vertical="center" wrapText="1"/>
    </xf>
    <xf numFmtId="177" fontId="85" fillId="22" borderId="3" xfId="237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5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169" fontId="5" fillId="0" borderId="3" xfId="0" quotePrefix="1" applyNumberFormat="1" applyFont="1" applyFill="1" applyBorder="1" applyAlignment="1">
      <alignment horizontal="center" vertical="center"/>
    </xf>
    <xf numFmtId="169" fontId="17" fillId="0" borderId="0" xfId="0" applyNumberFormat="1" applyFont="1" applyFill="1"/>
    <xf numFmtId="0" fontId="17" fillId="0" borderId="12" xfId="0" applyFont="1" applyFill="1" applyBorder="1"/>
    <xf numFmtId="0" fontId="86" fillId="0" borderId="12" xfId="0" applyFont="1" applyFill="1" applyBorder="1"/>
    <xf numFmtId="0" fontId="5" fillId="0" borderId="4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86" fillId="0" borderId="38" xfId="0" applyFont="1" applyFill="1" applyBorder="1"/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12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180" fontId="5" fillId="0" borderId="12" xfId="0" applyNumberFormat="1" applyFont="1" applyFill="1" applyBorder="1" applyAlignment="1">
      <alignment horizontal="center" vertical="center"/>
    </xf>
    <xf numFmtId="0" fontId="5" fillId="0" borderId="39" xfId="0" applyFont="1" applyFill="1" applyBorder="1"/>
    <xf numFmtId="0" fontId="7" fillId="0" borderId="3" xfId="0" applyFont="1" applyFill="1" applyBorder="1" applyAlignment="1">
      <alignment horizontal="center" vertical="center"/>
    </xf>
    <xf numFmtId="170" fontId="7" fillId="0" borderId="3" xfId="0" applyNumberFormat="1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179" fontId="4" fillId="0" borderId="27" xfId="0" applyNumberFormat="1" applyFont="1" applyFill="1" applyBorder="1" applyAlignment="1">
      <alignment horizontal="center" vertical="center" wrapText="1"/>
    </xf>
    <xf numFmtId="179" fontId="4" fillId="0" borderId="33" xfId="0" applyNumberFormat="1" applyFont="1" applyFill="1" applyBorder="1" applyAlignment="1">
      <alignment horizontal="center" vertical="center" wrapText="1" shrinkToFit="1"/>
    </xf>
    <xf numFmtId="179" fontId="4" fillId="0" borderId="27" xfId="0" applyNumberFormat="1" applyFont="1" applyFill="1" applyBorder="1" applyAlignment="1">
      <alignment horizontal="center" vertical="center" wrapText="1" shrinkToFit="1"/>
    </xf>
    <xf numFmtId="179" fontId="5" fillId="0" borderId="17" xfId="0" applyNumberFormat="1" applyFont="1" applyFill="1" applyBorder="1" applyAlignment="1">
      <alignment horizontal="center" vertical="center" wrapText="1"/>
    </xf>
    <xf numFmtId="179" fontId="5" fillId="0" borderId="17" xfId="0" applyNumberFormat="1" applyFont="1" applyFill="1" applyBorder="1" applyAlignment="1">
      <alignment horizontal="center" vertical="center" wrapText="1" shrinkToFit="1"/>
    </xf>
    <xf numFmtId="179" fontId="5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center" vertical="center" wrapText="1"/>
    </xf>
    <xf numFmtId="179" fontId="5" fillId="0" borderId="37" xfId="0" applyNumberFormat="1" applyFont="1" applyFill="1" applyBorder="1" applyAlignment="1">
      <alignment horizontal="center" vertical="center"/>
    </xf>
    <xf numFmtId="179" fontId="5" fillId="0" borderId="27" xfId="0" applyNumberFormat="1" applyFont="1" applyFill="1" applyBorder="1" applyAlignment="1">
      <alignment horizontal="center" vertical="center" wrapText="1"/>
    </xf>
    <xf numFmtId="179" fontId="5" fillId="0" borderId="27" xfId="0" applyNumberFormat="1" applyFont="1" applyFill="1" applyBorder="1" applyAlignment="1">
      <alignment horizontal="center" vertical="center" wrapText="1" shrinkToFit="1"/>
    </xf>
    <xf numFmtId="179" fontId="4" fillId="0" borderId="3" xfId="0" applyNumberFormat="1" applyFont="1" applyFill="1" applyBorder="1" applyAlignment="1">
      <alignment horizontal="center" vertical="center" wrapText="1" shrinkToFit="1"/>
    </xf>
    <xf numFmtId="179" fontId="4" fillId="0" borderId="3" xfId="0" applyNumberFormat="1" applyFont="1" applyFill="1" applyBorder="1"/>
    <xf numFmtId="179" fontId="7" fillId="0" borderId="3" xfId="0" applyNumberFormat="1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0" fontId="82" fillId="0" borderId="3" xfId="0" applyFont="1" applyFill="1" applyBorder="1" applyAlignment="1">
      <alignment horizontal="center"/>
    </xf>
    <xf numFmtId="169" fontId="8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179" fontId="4" fillId="29" borderId="14" xfId="0" applyNumberFormat="1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center" vertical="center" wrapText="1" shrinkToFit="1"/>
    </xf>
    <xf numFmtId="0" fontId="17" fillId="29" borderId="0" xfId="0" applyFont="1" applyFill="1"/>
    <xf numFmtId="49" fontId="9" fillId="29" borderId="3" xfId="0" applyNumberFormat="1" applyFont="1" applyFill="1" applyBorder="1" applyAlignment="1">
      <alignment horizontal="center" vertical="center"/>
    </xf>
    <xf numFmtId="0" fontId="9" fillId="29" borderId="14" xfId="0" applyFont="1" applyFill="1" applyBorder="1" applyAlignment="1">
      <alignment vertical="center" wrapText="1"/>
    </xf>
    <xf numFmtId="0" fontId="9" fillId="29" borderId="3" xfId="0" applyFont="1" applyFill="1" applyBorder="1" applyAlignment="1">
      <alignment horizontal="center" vertical="center" wrapText="1"/>
    </xf>
    <xf numFmtId="179" fontId="9" fillId="29" borderId="14" xfId="0" applyNumberFormat="1" applyFont="1" applyFill="1" applyBorder="1" applyAlignment="1">
      <alignment horizontal="center" vertical="center"/>
    </xf>
    <xf numFmtId="179" fontId="9" fillId="29" borderId="3" xfId="0" applyNumberFormat="1" applyFont="1" applyFill="1" applyBorder="1" applyAlignment="1">
      <alignment horizontal="center" vertical="center" wrapText="1" shrinkToFit="1"/>
    </xf>
    <xf numFmtId="49" fontId="5" fillId="29" borderId="3" xfId="0" applyNumberFormat="1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vertical="center"/>
    </xf>
    <xf numFmtId="179" fontId="5" fillId="29" borderId="14" xfId="0" applyNumberFormat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 shrinkToFit="1"/>
    </xf>
    <xf numFmtId="0" fontId="9" fillId="29" borderId="14" xfId="0" applyFont="1" applyFill="1" applyBorder="1" applyAlignment="1">
      <alignment vertical="center"/>
    </xf>
    <xf numFmtId="0" fontId="5" fillId="29" borderId="14" xfId="0" applyFont="1" applyFill="1" applyBorder="1" applyAlignment="1">
      <alignment vertical="center" wrapText="1"/>
    </xf>
    <xf numFmtId="0" fontId="5" fillId="29" borderId="14" xfId="0" applyFont="1" applyFill="1" applyBorder="1" applyAlignment="1">
      <alignment horizontal="left" vertical="center" wrapText="1"/>
    </xf>
    <xf numFmtId="0" fontId="9" fillId="29" borderId="41" xfId="0" applyFont="1" applyFill="1" applyBorder="1" applyAlignment="1">
      <alignment vertical="center"/>
    </xf>
    <xf numFmtId="0" fontId="9" fillId="29" borderId="23" xfId="0" applyFont="1" applyFill="1" applyBorder="1" applyAlignment="1">
      <alignment horizontal="center" vertical="center"/>
    </xf>
    <xf numFmtId="179" fontId="9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vertical="center"/>
    </xf>
    <xf numFmtId="0" fontId="9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/>
    </xf>
    <xf numFmtId="0" fontId="9" fillId="29" borderId="14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0" applyNumberFormat="1" applyFont="1" applyFill="1" applyBorder="1" applyAlignment="1">
      <alignment horizontal="center"/>
    </xf>
    <xf numFmtId="0" fontId="4" fillId="29" borderId="3" xfId="0" applyFont="1" applyFill="1" applyBorder="1" applyAlignment="1">
      <alignment vertical="center"/>
    </xf>
    <xf numFmtId="0" fontId="4" fillId="29" borderId="14" xfId="0" applyFont="1" applyFill="1" applyBorder="1" applyAlignment="1">
      <alignment horizontal="left" vertical="center"/>
    </xf>
    <xf numFmtId="0" fontId="5" fillId="29" borderId="14" xfId="0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horizontal="left" vertical="center"/>
    </xf>
    <xf numFmtId="0" fontId="4" fillId="29" borderId="22" xfId="0" applyFont="1" applyFill="1" applyBorder="1" applyAlignment="1">
      <alignment horizontal="center" vertical="center"/>
    </xf>
    <xf numFmtId="0" fontId="5" fillId="29" borderId="24" xfId="0" applyFont="1" applyFill="1" applyBorder="1" applyAlignment="1">
      <alignment horizontal="left" vertical="center" wrapText="1"/>
    </xf>
    <xf numFmtId="0" fontId="5" fillId="29" borderId="22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 wrapText="1"/>
    </xf>
    <xf numFmtId="0" fontId="4" fillId="29" borderId="41" xfId="0" applyFont="1" applyFill="1" applyBorder="1" applyAlignment="1">
      <alignment vertical="center"/>
    </xf>
    <xf numFmtId="0" fontId="4" fillId="29" borderId="0" xfId="0" applyFont="1" applyFill="1" applyBorder="1" applyAlignment="1">
      <alignment vertical="center"/>
    </xf>
    <xf numFmtId="0" fontId="4" fillId="29" borderId="18" xfId="0" applyFont="1" applyFill="1" applyBorder="1" applyAlignment="1">
      <alignment vertical="center"/>
    </xf>
    <xf numFmtId="0" fontId="4" fillId="29" borderId="3" xfId="0" applyFont="1" applyFill="1" applyBorder="1" applyAlignment="1"/>
    <xf numFmtId="0" fontId="9" fillId="29" borderId="3" xfId="0" applyNumberFormat="1" applyFont="1" applyFill="1" applyBorder="1" applyAlignment="1">
      <alignment horizontal="center" vertical="center"/>
    </xf>
    <xf numFmtId="0" fontId="4" fillId="29" borderId="2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right" vertical="center"/>
    </xf>
    <xf numFmtId="0" fontId="4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4" fillId="29" borderId="3" xfId="0" quotePrefix="1" applyFont="1" applyFill="1" applyBorder="1" applyAlignment="1">
      <alignment horizontal="center" vertical="center"/>
    </xf>
    <xf numFmtId="170" fontId="80" fillId="29" borderId="37" xfId="0" applyNumberFormat="1" applyFont="1" applyFill="1" applyBorder="1" applyAlignment="1">
      <alignment horizontal="center" vertical="center" wrapText="1" shrinkToFit="1"/>
    </xf>
    <xf numFmtId="170" fontId="12" fillId="29" borderId="37" xfId="0" applyNumberFormat="1" applyFont="1" applyFill="1" applyBorder="1" applyAlignment="1">
      <alignment horizontal="center" vertical="center" wrapText="1" shrinkToFit="1"/>
    </xf>
    <xf numFmtId="49" fontId="4" fillId="29" borderId="3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0" fontId="5" fillId="29" borderId="0" xfId="0" applyFont="1" applyFill="1" applyAlignment="1">
      <alignment vertical="center"/>
    </xf>
    <xf numFmtId="0" fontId="5" fillId="29" borderId="3" xfId="0" quotePrefix="1" applyFont="1" applyFill="1" applyBorder="1" applyAlignment="1">
      <alignment horizontal="center" vertical="center"/>
    </xf>
    <xf numFmtId="0" fontId="4" fillId="29" borderId="0" xfId="0" applyFont="1" applyFill="1" applyAlignment="1">
      <alignment vertical="center"/>
    </xf>
    <xf numFmtId="0" fontId="4" fillId="29" borderId="3" xfId="0" applyFont="1" applyFill="1" applyBorder="1" applyAlignment="1">
      <alignment horizontal="left" vertical="center" wrapText="1" shrinkToFit="1"/>
    </xf>
    <xf numFmtId="0" fontId="5" fillId="29" borderId="3" xfId="0" quotePrefix="1" applyFont="1" applyFill="1" applyBorder="1" applyAlignment="1">
      <alignment horizontal="center"/>
    </xf>
    <xf numFmtId="0" fontId="4" fillId="29" borderId="3" xfId="0" quotePrefix="1" applyFont="1" applyFill="1" applyBorder="1" applyAlignment="1">
      <alignment horizontal="center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4" fillId="29" borderId="18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7" fillId="29" borderId="0" xfId="0" applyNumberFormat="1" applyFont="1" applyFill="1" applyBorder="1" applyAlignment="1">
      <alignment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Border="1" applyAlignment="1">
      <alignment vertical="center" wrapText="1"/>
    </xf>
    <xf numFmtId="0" fontId="5" fillId="29" borderId="18" xfId="0" applyFont="1" applyFill="1" applyBorder="1" applyAlignment="1">
      <alignment horizontal="left" vertical="center" wrapText="1"/>
    </xf>
    <xf numFmtId="0" fontId="5" fillId="29" borderId="18" xfId="0" applyFont="1" applyFill="1" applyBorder="1" applyAlignment="1">
      <alignment vertical="center"/>
    </xf>
    <xf numFmtId="179" fontId="5" fillId="29" borderId="14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9" borderId="14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4" fillId="22" borderId="3" xfId="237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4" fillId="22" borderId="14" xfId="0" applyFont="1" applyFill="1" applyBorder="1" applyAlignment="1" applyProtection="1">
      <alignment horizontal="center"/>
      <protection locked="0"/>
    </xf>
    <xf numFmtId="0" fontId="4" fillId="22" borderId="13" xfId="0" applyFont="1" applyFill="1" applyBorder="1" applyAlignment="1" applyProtection="1">
      <alignment horizontal="center"/>
      <protection locked="0"/>
    </xf>
    <xf numFmtId="0" fontId="4" fillId="22" borderId="15" xfId="0" applyFont="1" applyFill="1" applyBorder="1" applyAlignment="1" applyProtection="1">
      <alignment horizontal="center"/>
      <protection locked="0"/>
    </xf>
    <xf numFmtId="0" fontId="4" fillId="22" borderId="20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9" fontId="5" fillId="29" borderId="14" xfId="0" applyNumberFormat="1" applyFont="1" applyFill="1" applyBorder="1" applyAlignment="1">
      <alignment horizontal="center" vertical="center" wrapText="1"/>
    </xf>
    <xf numFmtId="179" fontId="0" fillId="29" borderId="15" xfId="0" applyNumberForma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 shrinkToFit="1"/>
    </xf>
    <xf numFmtId="0" fontId="5" fillId="22" borderId="20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left" vertical="center"/>
    </xf>
    <xf numFmtId="0" fontId="5" fillId="22" borderId="0" xfId="0" applyFont="1" applyFill="1" applyAlignment="1">
      <alignment horizontal="left"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19" xfId="0" applyFont="1" applyFill="1" applyBorder="1" applyAlignment="1">
      <alignment horizontal="left" vertical="center"/>
    </xf>
    <xf numFmtId="0" fontId="4" fillId="22" borderId="0" xfId="0" applyFont="1" applyFill="1" applyBorder="1" applyAlignment="1">
      <alignment horizontal="left" vertical="center"/>
    </xf>
    <xf numFmtId="0" fontId="4" fillId="22" borderId="18" xfId="0" applyFont="1" applyFill="1" applyBorder="1" applyAlignment="1">
      <alignment horizontal="right" vertical="center" wrapText="1"/>
    </xf>
    <xf numFmtId="0" fontId="5" fillId="2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22" borderId="21" xfId="0" applyFont="1" applyFill="1" applyBorder="1" applyAlignment="1">
      <alignment horizontal="left" vertical="center" wrapText="1"/>
    </xf>
    <xf numFmtId="0" fontId="0" fillId="22" borderId="1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4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left" vertical="center" wrapText="1"/>
    </xf>
    <xf numFmtId="0" fontId="4" fillId="29" borderId="15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76" fillId="29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4" xfId="245" applyFont="1" applyFill="1" applyBorder="1" applyAlignment="1">
      <alignment horizontal="center" vertical="center" wrapText="1"/>
    </xf>
    <xf numFmtId="0" fontId="4" fillId="0" borderId="1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center" vertical="center" wrapText="1"/>
    </xf>
    <xf numFmtId="0" fontId="4" fillId="22" borderId="3" xfId="245" applyFont="1" applyFill="1" applyBorder="1" applyAlignment="1">
      <alignment horizontal="left" vertical="center" wrapText="1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quotePrefix="1" applyNumberFormat="1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0" fontId="5" fillId="0" borderId="17" xfId="245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0" fillId="0" borderId="14" xfId="0" applyFont="1" applyFill="1" applyBorder="1" applyAlignment="1">
      <alignment horizontal="left" vertical="center"/>
    </xf>
    <xf numFmtId="0" fontId="80" fillId="0" borderId="15" xfId="0" applyFont="1" applyFill="1" applyBorder="1" applyAlignment="1">
      <alignment horizontal="left" vertical="center"/>
    </xf>
    <xf numFmtId="0" fontId="80" fillId="0" borderId="0" xfId="0" applyFont="1" applyFill="1" applyAlignment="1">
      <alignment horizontal="center"/>
    </xf>
    <xf numFmtId="0" fontId="80" fillId="0" borderId="3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/>
    </xf>
    <xf numFmtId="0" fontId="80" fillId="0" borderId="17" xfId="0" applyFont="1" applyFill="1" applyBorder="1" applyAlignment="1">
      <alignment horizontal="center" vertical="center" wrapText="1"/>
    </xf>
    <xf numFmtId="0" fontId="80" fillId="0" borderId="20" xfId="0" applyFont="1" applyFill="1" applyBorder="1" applyAlignment="1">
      <alignment horizontal="center" vertical="center" wrapText="1"/>
    </xf>
    <xf numFmtId="0" fontId="80" fillId="0" borderId="3" xfId="245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right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2" borderId="17" xfId="237" applyNumberFormat="1" applyFont="1" applyFill="1" applyBorder="1" applyAlignment="1">
      <alignment horizontal="center" vertical="center" wrapText="1"/>
    </xf>
    <xf numFmtId="0" fontId="5" fillId="22" borderId="20" xfId="237" applyNumberFormat="1" applyFont="1" applyFill="1" applyBorder="1" applyAlignment="1">
      <alignment horizontal="center" vertical="center" wrapText="1"/>
    </xf>
    <xf numFmtId="0" fontId="5" fillId="0" borderId="17" xfId="237" applyNumberFormat="1" applyFont="1" applyFill="1" applyBorder="1" applyAlignment="1">
      <alignment horizontal="center" vertical="center" wrapText="1"/>
    </xf>
    <xf numFmtId="0" fontId="5" fillId="0" borderId="20" xfId="237" applyNumberFormat="1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/>
    </xf>
    <xf numFmtId="0" fontId="5" fillId="22" borderId="20" xfId="0" applyFont="1" applyFill="1" applyBorder="1" applyAlignment="1">
      <alignment horizontal="center" vertical="center" wrapText="1"/>
    </xf>
    <xf numFmtId="170" fontId="5" fillId="22" borderId="18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78" fontId="5" fillId="22" borderId="14" xfId="0" applyNumberFormat="1" applyFont="1" applyFill="1" applyBorder="1" applyAlignment="1">
      <alignment horizontal="center" vertical="center" wrapText="1"/>
    </xf>
    <xf numFmtId="178" fontId="5" fillId="22" borderId="13" xfId="0" applyNumberFormat="1" applyFont="1" applyFill="1" applyBorder="1" applyAlignment="1">
      <alignment horizontal="center" vertical="center" wrapText="1"/>
    </xf>
    <xf numFmtId="178" fontId="5" fillId="22" borderId="15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22" borderId="15" xfId="0" applyFont="1" applyFill="1" applyBorder="1" applyAlignment="1">
      <alignment horizontal="left" vertical="center" wrapText="1"/>
    </xf>
    <xf numFmtId="0" fontId="5" fillId="22" borderId="14" xfId="0" applyFont="1" applyFill="1" applyBorder="1" applyAlignment="1">
      <alignment horizontal="left" vertical="center" wrapText="1"/>
    </xf>
    <xf numFmtId="0" fontId="5" fillId="22" borderId="13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 wrapText="1"/>
    </xf>
    <xf numFmtId="3" fontId="5" fillId="22" borderId="3" xfId="0" applyNumberFormat="1" applyFont="1" applyFill="1" applyBorder="1" applyAlignment="1">
      <alignment horizontal="center" vertical="center" wrapText="1"/>
    </xf>
    <xf numFmtId="170" fontId="5" fillId="22" borderId="3" xfId="0" applyNumberFormat="1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178" fontId="4" fillId="22" borderId="14" xfId="0" applyNumberFormat="1" applyFont="1" applyFill="1" applyBorder="1" applyAlignment="1">
      <alignment horizontal="center" vertical="center" wrapText="1"/>
    </xf>
    <xf numFmtId="178" fontId="4" fillId="22" borderId="15" xfId="0" applyNumberFormat="1" applyFont="1" applyFill="1" applyBorder="1" applyAlignment="1">
      <alignment horizontal="center" vertical="center" wrapText="1"/>
    </xf>
    <xf numFmtId="0" fontId="4" fillId="22" borderId="0" xfId="0" applyFont="1" applyFill="1" applyBorder="1" applyAlignment="1">
      <alignment vertical="center"/>
    </xf>
    <xf numFmtId="3" fontId="4" fillId="22" borderId="3" xfId="0" applyNumberFormat="1" applyFont="1" applyFill="1" applyBorder="1" applyAlignment="1">
      <alignment horizontal="center" vertical="center" wrapText="1"/>
    </xf>
    <xf numFmtId="170" fontId="5" fillId="22" borderId="14" xfId="0" applyNumberFormat="1" applyFont="1" applyFill="1" applyBorder="1" applyAlignment="1">
      <alignment horizontal="center" vertical="center" wrapText="1"/>
    </xf>
    <xf numFmtId="170" fontId="5" fillId="22" borderId="15" xfId="0" applyNumberFormat="1" applyFont="1" applyFill="1" applyBorder="1" applyAlignment="1">
      <alignment horizontal="center" vertical="center" wrapText="1"/>
    </xf>
    <xf numFmtId="3" fontId="5" fillId="22" borderId="14" xfId="0" applyNumberFormat="1" applyFont="1" applyFill="1" applyBorder="1" applyAlignment="1">
      <alignment horizontal="center" vertical="center" wrapText="1"/>
    </xf>
    <xf numFmtId="3" fontId="5" fillId="22" borderId="15" xfId="0" applyNumberFormat="1" applyFont="1" applyFill="1" applyBorder="1" applyAlignment="1">
      <alignment horizontal="center" vertical="center" wrapText="1"/>
    </xf>
    <xf numFmtId="3" fontId="5" fillId="22" borderId="13" xfId="0" applyNumberFormat="1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/>
    </xf>
    <xf numFmtId="0" fontId="5" fillId="22" borderId="13" xfId="0" applyFont="1" applyFill="1" applyBorder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177" fontId="75" fillId="22" borderId="14" xfId="0" applyNumberFormat="1" applyFont="1" applyFill="1" applyBorder="1" applyAlignment="1">
      <alignment horizontal="center" vertical="center" wrapText="1"/>
    </xf>
    <xf numFmtId="177" fontId="75" fillId="22" borderId="15" xfId="0" applyNumberFormat="1" applyFont="1" applyFill="1" applyBorder="1" applyAlignment="1">
      <alignment horizontal="center" vertical="center" wrapText="1"/>
    </xf>
    <xf numFmtId="177" fontId="77" fillId="22" borderId="14" xfId="0" applyNumberFormat="1" applyFont="1" applyFill="1" applyBorder="1" applyAlignment="1">
      <alignment horizontal="center" vertical="center" wrapText="1"/>
    </xf>
    <xf numFmtId="177" fontId="77" fillId="22" borderId="15" xfId="0" applyNumberFormat="1" applyFont="1" applyFill="1" applyBorder="1" applyAlignment="1">
      <alignment horizontal="center" vertical="center" wrapText="1"/>
    </xf>
    <xf numFmtId="177" fontId="5" fillId="22" borderId="14" xfId="0" applyNumberFormat="1" applyFont="1" applyFill="1" applyBorder="1" applyAlignment="1">
      <alignment horizontal="center" vertical="center" wrapText="1"/>
    </xf>
    <xf numFmtId="177" fontId="5" fillId="22" borderId="15" xfId="0" applyNumberFormat="1" applyFont="1" applyFill="1" applyBorder="1" applyAlignment="1">
      <alignment horizontal="center" vertical="center" wrapText="1"/>
    </xf>
    <xf numFmtId="0" fontId="4" fillId="22" borderId="0" xfId="0" applyFont="1" applyFill="1" applyBorder="1" applyAlignment="1">
      <alignment horizontal="left" vertical="center" wrapText="1"/>
    </xf>
    <xf numFmtId="3" fontId="5" fillId="22" borderId="3" xfId="0" applyNumberFormat="1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justify" vertical="center" wrapText="1" shrinkToFit="1"/>
    </xf>
    <xf numFmtId="177" fontId="4" fillId="22" borderId="14" xfId="0" applyNumberFormat="1" applyFont="1" applyFill="1" applyBorder="1" applyAlignment="1">
      <alignment horizontal="center" vertical="center" wrapText="1"/>
    </xf>
    <xf numFmtId="177" fontId="4" fillId="22" borderId="15" xfId="0" applyNumberFormat="1" applyFont="1" applyFill="1" applyBorder="1" applyAlignment="1">
      <alignment horizontal="center" vertical="center" wrapText="1"/>
    </xf>
    <xf numFmtId="170" fontId="6" fillId="22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177" fontId="80" fillId="22" borderId="13" xfId="0" applyNumberFormat="1" applyFont="1" applyFill="1" applyBorder="1" applyAlignment="1">
      <alignment horizontal="center" vertical="center" wrapText="1"/>
    </xf>
    <xf numFmtId="177" fontId="80" fillId="22" borderId="15" xfId="0" applyNumberFormat="1" applyFont="1" applyFill="1" applyBorder="1" applyAlignment="1">
      <alignment horizontal="center" vertical="center" wrapText="1"/>
    </xf>
    <xf numFmtId="177" fontId="12" fillId="22" borderId="14" xfId="0" applyNumberFormat="1" applyFont="1" applyFill="1" applyBorder="1" applyAlignment="1">
      <alignment horizontal="center" vertical="center" wrapText="1"/>
    </xf>
    <xf numFmtId="177" fontId="12" fillId="22" borderId="13" xfId="0" applyNumberFormat="1" applyFont="1" applyFill="1" applyBorder="1" applyAlignment="1">
      <alignment horizontal="center" vertical="center" wrapText="1"/>
    </xf>
    <xf numFmtId="177" fontId="12" fillId="22" borderId="15" xfId="0" applyNumberFormat="1" applyFont="1" applyFill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center" vertical="center"/>
    </xf>
    <xf numFmtId="0" fontId="12" fillId="22" borderId="13" xfId="0" applyFont="1" applyFill="1" applyBorder="1" applyAlignment="1">
      <alignment horizontal="center" vertical="center"/>
    </xf>
    <xf numFmtId="0" fontId="12" fillId="22" borderId="15" xfId="0" applyFont="1" applyFill="1" applyBorder="1" applyAlignment="1">
      <alignment horizontal="center" vertical="center"/>
    </xf>
    <xf numFmtId="0" fontId="12" fillId="22" borderId="14" xfId="0" applyFont="1" applyFill="1" applyBorder="1" applyAlignment="1">
      <alignment horizontal="center" vertical="center" wrapText="1"/>
    </xf>
    <xf numFmtId="0" fontId="12" fillId="22" borderId="13" xfId="0" applyFont="1" applyFill="1" applyBorder="1" applyAlignment="1">
      <alignment horizontal="center" vertical="center" wrapText="1"/>
    </xf>
    <xf numFmtId="0" fontId="12" fillId="22" borderId="15" xfId="0" applyFont="1" applyFill="1" applyBorder="1" applyAlignment="1">
      <alignment horizontal="center" vertical="center" wrapText="1"/>
    </xf>
    <xf numFmtId="178" fontId="12" fillId="22" borderId="14" xfId="0" applyNumberFormat="1" applyFont="1" applyFill="1" applyBorder="1" applyAlignment="1">
      <alignment horizontal="center" vertical="center" wrapText="1"/>
    </xf>
    <xf numFmtId="178" fontId="12" fillId="22" borderId="13" xfId="0" applyNumberFormat="1" applyFont="1" applyFill="1" applyBorder="1" applyAlignment="1">
      <alignment horizontal="center" vertical="center" wrapText="1"/>
    </xf>
    <xf numFmtId="178" fontId="12" fillId="22" borderId="15" xfId="0" applyNumberFormat="1" applyFont="1" applyFill="1" applyBorder="1" applyAlignment="1">
      <alignment horizontal="center" vertical="center" wrapText="1"/>
    </xf>
    <xf numFmtId="178" fontId="4" fillId="22" borderId="13" xfId="0" applyNumberFormat="1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top" wrapText="1"/>
    </xf>
    <xf numFmtId="0" fontId="5" fillId="22" borderId="22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5" fillId="22" borderId="21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23" xfId="0" applyFont="1" applyFill="1" applyBorder="1" applyAlignment="1">
      <alignment horizontal="center" vertical="center" wrapText="1"/>
    </xf>
    <xf numFmtId="177" fontId="4" fillId="22" borderId="13" xfId="0" applyNumberFormat="1" applyFont="1" applyFill="1" applyBorder="1" applyAlignment="1">
      <alignment horizontal="center" vertical="center" wrapText="1"/>
    </xf>
    <xf numFmtId="0" fontId="4" fillId="22" borderId="14" xfId="0" applyFont="1" applyFill="1" applyBorder="1" applyAlignment="1">
      <alignment horizontal="center" vertical="center" wrapText="1" shrinkToFit="1"/>
    </xf>
    <xf numFmtId="0" fontId="4" fillId="22" borderId="13" xfId="0" applyFont="1" applyFill="1" applyBorder="1" applyAlignment="1">
      <alignment horizontal="center" vertical="center" wrapText="1" shrinkToFit="1"/>
    </xf>
    <xf numFmtId="0" fontId="4" fillId="22" borderId="15" xfId="0" applyFont="1" applyFill="1" applyBorder="1" applyAlignment="1">
      <alignment horizontal="center" vertical="center" wrapText="1" shrinkToFit="1"/>
    </xf>
    <xf numFmtId="0" fontId="12" fillId="22" borderId="3" xfId="0" applyFont="1" applyFill="1" applyBorder="1" applyAlignment="1">
      <alignment horizontal="left" vertical="center" wrapText="1"/>
    </xf>
    <xf numFmtId="0" fontId="12" fillId="22" borderId="3" xfId="0" applyFont="1" applyFill="1" applyBorder="1" applyAlignment="1">
      <alignment horizontal="center" vertical="center" wrapText="1"/>
    </xf>
    <xf numFmtId="0" fontId="12" fillId="22" borderId="22" xfId="0" applyFont="1" applyFill="1" applyBorder="1" applyAlignment="1">
      <alignment horizontal="center" vertical="center" wrapText="1"/>
    </xf>
    <xf numFmtId="0" fontId="12" fillId="22" borderId="19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 wrapText="1"/>
    </xf>
    <xf numFmtId="0" fontId="12" fillId="22" borderId="18" xfId="0" applyFont="1" applyFill="1" applyBorder="1" applyAlignment="1">
      <alignment horizontal="center" vertical="center" wrapText="1"/>
    </xf>
    <xf numFmtId="0" fontId="12" fillId="22" borderId="23" xfId="0" applyFont="1" applyFill="1" applyBorder="1" applyAlignment="1">
      <alignment horizontal="center" vertical="center" wrapText="1"/>
    </xf>
    <xf numFmtId="0" fontId="4" fillId="22" borderId="14" xfId="0" applyFont="1" applyFill="1" applyBorder="1" applyAlignment="1">
      <alignment horizontal="center" vertical="center" wrapText="1"/>
    </xf>
    <xf numFmtId="0" fontId="4" fillId="22" borderId="13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 wrapText="1"/>
    </xf>
    <xf numFmtId="177" fontId="80" fillId="22" borderId="14" xfId="0" applyNumberFormat="1" applyFont="1" applyFill="1" applyBorder="1" applyAlignment="1">
      <alignment horizontal="center" vertical="center" wrapText="1"/>
    </xf>
    <xf numFmtId="1" fontId="12" fillId="22" borderId="14" xfId="0" applyNumberFormat="1" applyFont="1" applyFill="1" applyBorder="1" applyAlignment="1">
      <alignment horizontal="right" wrapText="1"/>
    </xf>
    <xf numFmtId="1" fontId="12" fillId="22" borderId="13" xfId="0" applyNumberFormat="1" applyFont="1" applyFill="1" applyBorder="1" applyAlignment="1">
      <alignment horizontal="right" wrapText="1"/>
    </xf>
    <xf numFmtId="1" fontId="12" fillId="22" borderId="15" xfId="0" applyNumberFormat="1" applyFont="1" applyFill="1" applyBorder="1" applyAlignment="1">
      <alignment horizontal="right" wrapText="1"/>
    </xf>
    <xf numFmtId="0" fontId="5" fillId="22" borderId="24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center" vertical="center" wrapText="1"/>
    </xf>
    <xf numFmtId="0" fontId="5" fillId="22" borderId="25" xfId="0" applyFont="1" applyFill="1" applyBorder="1" applyAlignment="1">
      <alignment horizontal="center" vertical="center" wrapText="1"/>
    </xf>
    <xf numFmtId="0" fontId="4" fillId="22" borderId="0" xfId="0" applyFont="1" applyFill="1" applyAlignment="1">
      <alignment horizontal="right" vertical="center" wrapText="1"/>
    </xf>
    <xf numFmtId="0" fontId="73" fillId="22" borderId="0" xfId="0" applyFont="1" applyFill="1" applyAlignment="1">
      <alignment horizontal="right" vertical="center" wrapText="1"/>
    </xf>
    <xf numFmtId="49" fontId="5" fillId="22" borderId="22" xfId="0" applyNumberFormat="1" applyFont="1" applyFill="1" applyBorder="1" applyAlignment="1">
      <alignment horizontal="center" vertical="center" wrapText="1"/>
    </xf>
    <xf numFmtId="49" fontId="5" fillId="22" borderId="19" xfId="0" applyNumberFormat="1" applyFont="1" applyFill="1" applyBorder="1" applyAlignment="1">
      <alignment horizontal="center" vertical="center" wrapText="1"/>
    </xf>
    <xf numFmtId="49" fontId="5" fillId="22" borderId="16" xfId="0" applyNumberFormat="1" applyFont="1" applyFill="1" applyBorder="1" applyAlignment="1">
      <alignment horizontal="center" vertical="center" wrapText="1"/>
    </xf>
    <xf numFmtId="49" fontId="5" fillId="22" borderId="24" xfId="0" applyNumberFormat="1" applyFont="1" applyFill="1" applyBorder="1" applyAlignment="1">
      <alignment horizontal="center" vertical="center" wrapText="1"/>
    </xf>
    <xf numFmtId="49" fontId="5" fillId="22" borderId="0" xfId="0" applyNumberFormat="1" applyFont="1" applyFill="1" applyBorder="1" applyAlignment="1">
      <alignment horizontal="center" vertical="center" wrapText="1"/>
    </xf>
    <xf numFmtId="49" fontId="5" fillId="22" borderId="25" xfId="0" applyNumberFormat="1" applyFont="1" applyFill="1" applyBorder="1" applyAlignment="1">
      <alignment horizontal="center" vertical="center" wrapText="1"/>
    </xf>
    <xf numFmtId="49" fontId="5" fillId="22" borderId="21" xfId="0" applyNumberFormat="1" applyFont="1" applyFill="1" applyBorder="1" applyAlignment="1">
      <alignment horizontal="center" vertical="center" wrapText="1"/>
    </xf>
    <xf numFmtId="49" fontId="5" fillId="22" borderId="18" xfId="0" applyNumberFormat="1" applyFont="1" applyFill="1" applyBorder="1" applyAlignment="1">
      <alignment horizontal="center" vertical="center" wrapText="1"/>
    </xf>
    <xf numFmtId="49" fontId="5" fillId="22" borderId="23" xfId="0" applyNumberFormat="1" applyFont="1" applyFill="1" applyBorder="1" applyAlignment="1">
      <alignment horizontal="center" vertical="center" wrapText="1"/>
    </xf>
    <xf numFmtId="0" fontId="4" fillId="22" borderId="18" xfId="0" applyFont="1" applyFill="1" applyBorder="1" applyAlignment="1">
      <alignment horizontal="left" vertical="center" wrapText="1"/>
    </xf>
    <xf numFmtId="1" fontId="4" fillId="22" borderId="14" xfId="0" applyNumberFormat="1" applyFont="1" applyFill="1" applyBorder="1" applyAlignment="1">
      <alignment horizontal="right" wrapText="1" shrinkToFit="1"/>
    </xf>
    <xf numFmtId="1" fontId="4" fillId="22" borderId="13" xfId="0" applyNumberFormat="1" applyFont="1" applyFill="1" applyBorder="1" applyAlignment="1">
      <alignment horizontal="right" wrapText="1" shrinkToFit="1"/>
    </xf>
    <xf numFmtId="1" fontId="4" fillId="22" borderId="15" xfId="0" applyNumberFormat="1" applyFont="1" applyFill="1" applyBorder="1" applyAlignment="1">
      <alignment horizontal="right" wrapText="1" shrinkToFit="1"/>
    </xf>
    <xf numFmtId="49" fontId="12" fillId="22" borderId="14" xfId="0" applyNumberFormat="1" applyFont="1" applyFill="1" applyBorder="1" applyAlignment="1">
      <alignment horizontal="left" vertical="center" wrapText="1"/>
    </xf>
    <xf numFmtId="49" fontId="12" fillId="22" borderId="13" xfId="0" applyNumberFormat="1" applyFont="1" applyFill="1" applyBorder="1" applyAlignment="1">
      <alignment horizontal="left" vertical="center" wrapText="1"/>
    </xf>
    <xf numFmtId="49" fontId="12" fillId="22" borderId="15" xfId="0" applyNumberFormat="1" applyFont="1" applyFill="1" applyBorder="1" applyAlignment="1">
      <alignment horizontal="left" vertical="center" wrapText="1"/>
    </xf>
    <xf numFmtId="49" fontId="5" fillId="29" borderId="14" xfId="0" applyNumberFormat="1" applyFont="1" applyFill="1" applyBorder="1" applyAlignment="1">
      <alignment horizontal="left" vertical="center" wrapText="1"/>
    </xf>
    <xf numFmtId="49" fontId="5" fillId="29" borderId="13" xfId="0" applyNumberFormat="1" applyFont="1" applyFill="1" applyBorder="1" applyAlignment="1">
      <alignment horizontal="left" vertical="center" wrapText="1"/>
    </xf>
    <xf numFmtId="49" fontId="5" fillId="29" borderId="15" xfId="0" applyNumberFormat="1" applyFont="1" applyFill="1" applyBorder="1" applyAlignment="1">
      <alignment horizontal="left" vertical="center" wrapText="1"/>
    </xf>
    <xf numFmtId="49" fontId="5" fillId="29" borderId="14" xfId="0" applyNumberFormat="1" applyFont="1" applyFill="1" applyBorder="1" applyAlignment="1">
      <alignment horizontal="left" vertical="center"/>
    </xf>
    <xf numFmtId="49" fontId="5" fillId="29" borderId="13" xfId="0" applyNumberFormat="1" applyFont="1" applyFill="1" applyBorder="1" applyAlignment="1">
      <alignment horizontal="left" vertical="center"/>
    </xf>
    <xf numFmtId="49" fontId="5" fillId="29" borderId="15" xfId="0" applyNumberFormat="1" applyFont="1" applyFill="1" applyBorder="1" applyAlignment="1">
      <alignment horizontal="left" vertical="center"/>
    </xf>
    <xf numFmtId="49" fontId="4" fillId="29" borderId="14" xfId="0" applyNumberFormat="1" applyFont="1" applyFill="1" applyBorder="1" applyAlignment="1">
      <alignment horizontal="center" vertical="center" wrapText="1"/>
    </xf>
    <xf numFmtId="49" fontId="4" fillId="29" borderId="13" xfId="0" applyNumberFormat="1" applyFont="1" applyFill="1" applyBorder="1" applyAlignment="1">
      <alignment horizontal="center" vertical="center" wrapText="1"/>
    </xf>
    <xf numFmtId="49" fontId="4" fillId="29" borderId="15" xfId="0" applyNumberFormat="1" applyFont="1" applyFill="1" applyBorder="1" applyAlignment="1">
      <alignment horizontal="center" vertical="center" wrapText="1"/>
    </xf>
    <xf numFmtId="3" fontId="4" fillId="29" borderId="14" xfId="0" applyNumberFormat="1" applyFont="1" applyFill="1" applyBorder="1" applyAlignment="1">
      <alignment horizontal="center" vertical="center" wrapText="1"/>
    </xf>
    <xf numFmtId="3" fontId="4" fillId="29" borderId="13" xfId="0" applyNumberFormat="1" applyFont="1" applyFill="1" applyBorder="1" applyAlignment="1">
      <alignment horizontal="center" vertical="center" wrapText="1"/>
    </xf>
    <xf numFmtId="3" fontId="4" fillId="29" borderId="15" xfId="0" applyNumberFormat="1" applyFont="1" applyFill="1" applyBorder="1" applyAlignment="1">
      <alignment horizontal="center" vertical="center" wrapText="1"/>
    </xf>
    <xf numFmtId="3" fontId="4" fillId="22" borderId="14" xfId="0" applyNumberFormat="1" applyFont="1" applyFill="1" applyBorder="1" applyAlignment="1">
      <alignment horizontal="left" vertical="center" wrapText="1"/>
    </xf>
    <xf numFmtId="3" fontId="4" fillId="22" borderId="13" xfId="0" applyNumberFormat="1" applyFont="1" applyFill="1" applyBorder="1" applyAlignment="1">
      <alignment horizontal="left" vertical="center" wrapText="1"/>
    </xf>
    <xf numFmtId="3" fontId="4" fillId="22" borderId="15" xfId="0" applyNumberFormat="1" applyFont="1" applyFill="1" applyBorder="1" applyAlignment="1">
      <alignment horizontal="left" vertical="center" wrapText="1"/>
    </xf>
    <xf numFmtId="49" fontId="4" fillId="2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49" fontId="5" fillId="29" borderId="22" xfId="0" applyNumberFormat="1" applyFont="1" applyFill="1" applyBorder="1" applyAlignment="1">
      <alignment horizontal="left" vertical="center" wrapText="1"/>
    </xf>
    <xf numFmtId="49" fontId="5" fillId="29" borderId="19" xfId="0" applyNumberFormat="1" applyFont="1" applyFill="1" applyBorder="1" applyAlignment="1">
      <alignment horizontal="left" vertical="center" wrapText="1"/>
    </xf>
    <xf numFmtId="49" fontId="5" fillId="29" borderId="16" xfId="0" applyNumberFormat="1" applyFont="1" applyFill="1" applyBorder="1" applyAlignment="1">
      <alignment horizontal="left" vertical="center" wrapText="1"/>
    </xf>
    <xf numFmtId="49" fontId="85" fillId="29" borderId="14" xfId="0" applyNumberFormat="1" applyFont="1" applyFill="1" applyBorder="1" applyAlignment="1">
      <alignment horizontal="left" vertical="center" wrapText="1"/>
    </xf>
    <xf numFmtId="49" fontId="85" fillId="29" borderId="13" xfId="0" applyNumberFormat="1" applyFont="1" applyFill="1" applyBorder="1" applyAlignment="1">
      <alignment horizontal="left" vertical="center" wrapText="1"/>
    </xf>
    <xf numFmtId="49" fontId="85" fillId="29" borderId="15" xfId="0" applyNumberFormat="1" applyFont="1" applyFill="1" applyBorder="1" applyAlignment="1">
      <alignment horizontal="left" vertical="center" wrapText="1"/>
    </xf>
    <xf numFmtId="49" fontId="5" fillId="22" borderId="3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22" borderId="0" xfId="0" applyFont="1" applyFill="1" applyBorder="1" applyAlignment="1">
      <alignment horizontal="center" vertical="center" wrapText="1"/>
    </xf>
    <xf numFmtId="0" fontId="0" fillId="22" borderId="0" xfId="0" applyFont="1" applyFill="1" applyAlignment="1">
      <alignment horizontal="center" vertical="center"/>
    </xf>
    <xf numFmtId="0" fontId="76" fillId="22" borderId="0" xfId="0" applyFont="1" applyFill="1" applyBorder="1" applyAlignment="1">
      <alignment horizontal="center" vertical="center" wrapText="1"/>
    </xf>
    <xf numFmtId="0" fontId="78" fillId="22" borderId="0" xfId="0" applyFont="1" applyFill="1" applyAlignment="1">
      <alignment horizontal="center" vertical="center" wrapText="1"/>
    </xf>
    <xf numFmtId="49" fontId="5" fillId="22" borderId="3" xfId="0" applyNumberFormat="1" applyFont="1" applyFill="1" applyBorder="1" applyAlignment="1">
      <alignment horizontal="left" vertical="center" wrapText="1"/>
    </xf>
    <xf numFmtId="49" fontId="4" fillId="22" borderId="3" xfId="0" applyNumberFormat="1" applyFont="1" applyFill="1" applyBorder="1" applyAlignment="1">
      <alignment horizontal="left" vertical="center" wrapText="1"/>
    </xf>
    <xf numFmtId="170" fontId="5" fillId="22" borderId="0" xfId="0" applyNumberFormat="1" applyFont="1" applyFill="1" applyBorder="1" applyAlignment="1">
      <alignment horizontal="center" wrapText="1"/>
    </xf>
    <xf numFmtId="170" fontId="5" fillId="22" borderId="0" xfId="0" quotePrefix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3" fillId="22" borderId="13" xfId="0" applyFont="1" applyFill="1" applyBorder="1" applyAlignment="1">
      <alignment horizontal="center" vertical="center" wrapText="1"/>
    </xf>
    <xf numFmtId="0" fontId="73" fillId="2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4" fillId="29" borderId="0" xfId="0" applyFont="1" applyFill="1" applyAlignment="1">
      <alignment horizontal="center" vertical="center"/>
    </xf>
    <xf numFmtId="0" fontId="17" fillId="29" borderId="0" xfId="0" applyFont="1" applyFill="1" applyAlignment="1">
      <alignment horizontal="center"/>
    </xf>
    <xf numFmtId="0" fontId="17" fillId="29" borderId="0" xfId="0" applyFont="1" applyFill="1" applyAlignment="1">
      <alignment horizontal="center"/>
    </xf>
    <xf numFmtId="0" fontId="17" fillId="29" borderId="0" xfId="0" applyFont="1" applyFill="1" applyAlignment="1">
      <alignment horizontal="center" vertical="center"/>
    </xf>
    <xf numFmtId="0" fontId="5" fillId="29" borderId="26" xfId="0" applyFont="1" applyFill="1" applyBorder="1" applyAlignment="1">
      <alignment horizontal="center" vertical="center" wrapText="1"/>
    </xf>
    <xf numFmtId="0" fontId="5" fillId="29" borderId="27" xfId="0" applyFont="1" applyFill="1" applyBorder="1" applyAlignment="1">
      <alignment horizontal="center" vertical="center"/>
    </xf>
    <xf numFmtId="0" fontId="5" fillId="29" borderId="27" xfId="0" applyFont="1" applyFill="1" applyBorder="1" applyAlignment="1">
      <alignment horizontal="center" vertical="center" wrapText="1"/>
    </xf>
    <xf numFmtId="0" fontId="5" fillId="29" borderId="39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center" vertical="center"/>
    </xf>
    <xf numFmtId="0" fontId="4" fillId="29" borderId="1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vertical="center" wrapText="1"/>
    </xf>
    <xf numFmtId="179" fontId="7" fillId="29" borderId="3" xfId="0" applyNumberFormat="1" applyFont="1" applyFill="1" applyBorder="1" applyAlignment="1">
      <alignment horizontal="center" vertical="center" wrapText="1" shrinkToFit="1"/>
    </xf>
    <xf numFmtId="0" fontId="4" fillId="29" borderId="14" xfId="0" applyFont="1" applyFill="1" applyBorder="1" applyAlignment="1">
      <alignment vertical="center"/>
    </xf>
    <xf numFmtId="0" fontId="4" fillId="29" borderId="3" xfId="0" applyFont="1" applyFill="1" applyBorder="1" applyAlignment="1">
      <alignment vertical="center" wrapText="1"/>
    </xf>
    <xf numFmtId="49" fontId="7" fillId="29" borderId="3" xfId="0" applyNumberFormat="1" applyFont="1" applyFill="1" applyBorder="1" applyAlignment="1">
      <alignment horizontal="center" vertical="center"/>
    </xf>
    <xf numFmtId="49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/>
    </xf>
    <xf numFmtId="4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/>
    <xf numFmtId="0" fontId="4" fillId="29" borderId="0" xfId="0" applyFont="1" applyFill="1" applyAlignment="1">
      <alignment horizontal="center"/>
    </xf>
    <xf numFmtId="0" fontId="5" fillId="29" borderId="4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179" fontId="9" fillId="29" borderId="14" xfId="0" applyNumberFormat="1" applyFont="1" applyFill="1" applyBorder="1" applyAlignment="1">
      <alignment horizontal="center" vertical="center" wrapText="1"/>
    </xf>
    <xf numFmtId="179" fontId="7" fillId="29" borderId="14" xfId="0" applyNumberFormat="1" applyFont="1" applyFill="1" applyBorder="1" applyAlignment="1">
      <alignment horizontal="center" vertical="center" wrapText="1"/>
    </xf>
    <xf numFmtId="179" fontId="7" fillId="29" borderId="14" xfId="0" applyNumberFormat="1" applyFont="1" applyFill="1" applyBorder="1" applyAlignment="1">
      <alignment horizontal="center" vertical="center"/>
    </xf>
    <xf numFmtId="0" fontId="17" fillId="29" borderId="0" xfId="0" applyFont="1" applyFill="1" applyBorder="1"/>
    <xf numFmtId="170" fontId="17" fillId="29" borderId="0" xfId="0" applyNumberFormat="1" applyFont="1" applyFill="1" applyBorder="1"/>
    <xf numFmtId="179" fontId="5" fillId="29" borderId="0" xfId="0" applyNumberFormat="1" applyFont="1" applyFill="1" applyBorder="1" applyAlignment="1">
      <alignment horizontal="center" vertical="center" wrapText="1" shrinkToFit="1"/>
    </xf>
    <xf numFmtId="2" fontId="17" fillId="29" borderId="0" xfId="0" applyNumberFormat="1" applyFont="1" applyFill="1" applyBorder="1"/>
    <xf numFmtId="4" fontId="17" fillId="29" borderId="0" xfId="0" applyNumberFormat="1" applyFont="1" applyFill="1" applyBorder="1"/>
    <xf numFmtId="181" fontId="17" fillId="29" borderId="0" xfId="0" applyNumberFormat="1" applyFont="1" applyFill="1" applyBorder="1"/>
    <xf numFmtId="0" fontId="4" fillId="29" borderId="0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right"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0" fontId="5" fillId="29" borderId="3" xfId="0" applyNumberFormat="1" applyFont="1" applyFill="1" applyBorder="1" applyAlignment="1">
      <alignment horizontal="center" vertical="center"/>
    </xf>
    <xf numFmtId="3" fontId="5" fillId="29" borderId="0" xfId="0" applyNumberFormat="1" applyFont="1" applyFill="1" applyBorder="1" applyAlignment="1">
      <alignment vertical="center"/>
    </xf>
    <xf numFmtId="181" fontId="5" fillId="29" borderId="0" xfId="0" applyNumberFormat="1" applyFont="1" applyFill="1" applyBorder="1" applyAlignment="1">
      <alignment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0 2" xfId="354"/>
    <cellStyle name="Финансовый 2 11" xfId="325"/>
    <cellStyle name="Финансовый 2 11 2" xfId="355"/>
    <cellStyle name="Финансовый 2 12" xfId="326"/>
    <cellStyle name="Финансовый 2 12 2" xfId="356"/>
    <cellStyle name="Финансовый 2 13" xfId="327"/>
    <cellStyle name="Финансовый 2 13 2" xfId="357"/>
    <cellStyle name="Финансовый 2 14" xfId="328"/>
    <cellStyle name="Финансовый 2 14 2" xfId="358"/>
    <cellStyle name="Финансовый 2 15" xfId="329"/>
    <cellStyle name="Финансовый 2 15 2" xfId="359"/>
    <cellStyle name="Финансовый 2 16" xfId="330"/>
    <cellStyle name="Финансовый 2 16 2" xfId="360"/>
    <cellStyle name="Финансовый 2 17" xfId="331"/>
    <cellStyle name="Финансовый 2 18" xfId="353"/>
    <cellStyle name="Финансовый 2 2" xfId="332"/>
    <cellStyle name="Финансовый 2 2 2" xfId="361"/>
    <cellStyle name="Финансовый 2 3" xfId="333"/>
    <cellStyle name="Финансовый 2 3 2" xfId="362"/>
    <cellStyle name="Финансовый 2 4" xfId="334"/>
    <cellStyle name="Финансовый 2 4 2" xfId="363"/>
    <cellStyle name="Финансовый 2 5" xfId="335"/>
    <cellStyle name="Финансовый 2 5 2" xfId="364"/>
    <cellStyle name="Финансовый 2 6" xfId="336"/>
    <cellStyle name="Финансовый 2 6 2" xfId="365"/>
    <cellStyle name="Финансовый 2 7" xfId="337"/>
    <cellStyle name="Финансовый 2 7 2" xfId="366"/>
    <cellStyle name="Финансовый 2 8" xfId="338"/>
    <cellStyle name="Финансовый 2 8 2" xfId="367"/>
    <cellStyle name="Финансовый 2 9" xfId="339"/>
    <cellStyle name="Финансовый 2 9 2" xfId="368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298"/>
  <sheetViews>
    <sheetView topLeftCell="A139" zoomScale="70" zoomScaleNormal="70" zoomScaleSheetLayoutView="69" workbookViewId="0">
      <selection activeCell="F139" sqref="F139:F142"/>
    </sheetView>
  </sheetViews>
  <sheetFormatPr defaultColWidth="9.140625" defaultRowHeight="18.75"/>
  <cols>
    <col min="1" max="1" width="73.28515625" style="3" customWidth="1"/>
    <col min="2" max="2" width="15.28515625" style="16" customWidth="1"/>
    <col min="3" max="5" width="18" style="16" customWidth="1"/>
    <col min="6" max="6" width="16.7109375" style="3" customWidth="1"/>
    <col min="7" max="7" width="20.7109375" style="3" customWidth="1"/>
    <col min="8" max="9" width="21.42578125" style="3" customWidth="1"/>
    <col min="10" max="10" width="18.140625" style="3" hidden="1" customWidth="1"/>
    <col min="11" max="11" width="10" style="3" customWidth="1"/>
    <col min="12" max="12" width="9.5703125" style="3" customWidth="1"/>
    <col min="13" max="14" width="9.140625" style="3"/>
    <col min="15" max="15" width="10.5703125" style="3" customWidth="1"/>
    <col min="16" max="16384" width="9.140625" style="3"/>
  </cols>
  <sheetData>
    <row r="1" spans="1:10" ht="18.75" customHeight="1">
      <c r="A1" s="496"/>
      <c r="B1" s="497"/>
      <c r="C1" s="61"/>
      <c r="D1" s="59"/>
      <c r="E1" s="59"/>
      <c r="F1" s="59"/>
      <c r="G1" s="490" t="s">
        <v>419</v>
      </c>
      <c r="H1" s="490"/>
      <c r="I1" s="490"/>
      <c r="J1" s="490"/>
    </row>
    <row r="2" spans="1:10">
      <c r="A2" s="497"/>
      <c r="B2" s="497"/>
      <c r="C2" s="61"/>
      <c r="D2" s="59"/>
      <c r="E2" s="59"/>
      <c r="F2" s="59"/>
      <c r="G2" s="490" t="s">
        <v>420</v>
      </c>
      <c r="H2" s="490"/>
      <c r="I2" s="490"/>
      <c r="J2" s="490"/>
    </row>
    <row r="3" spans="1:10" ht="18.75" customHeight="1">
      <c r="A3" s="497"/>
      <c r="B3" s="497"/>
      <c r="C3" s="61"/>
      <c r="D3" s="60"/>
      <c r="E3" s="60"/>
      <c r="F3" s="60"/>
      <c r="G3" s="490" t="s">
        <v>421</v>
      </c>
      <c r="H3" s="490"/>
      <c r="I3" s="490"/>
      <c r="J3" s="490"/>
    </row>
    <row r="4" spans="1:10" ht="18.75" customHeight="1">
      <c r="A4" s="497"/>
      <c r="B4" s="497"/>
      <c r="C4" s="61"/>
      <c r="D4" s="60"/>
      <c r="E4" s="60"/>
      <c r="F4" s="60"/>
      <c r="G4" s="492"/>
      <c r="H4" s="492"/>
      <c r="I4" s="492"/>
      <c r="J4" s="492"/>
    </row>
    <row r="5" spans="1:10" ht="18.75" customHeight="1">
      <c r="A5" s="497"/>
      <c r="B5" s="497"/>
      <c r="C5" s="61"/>
      <c r="D5" s="60"/>
      <c r="E5" s="60"/>
      <c r="F5" s="60"/>
      <c r="G5" s="490"/>
      <c r="H5" s="490"/>
      <c r="I5" s="63"/>
      <c r="J5" s="63"/>
    </row>
    <row r="6" spans="1:10" ht="18.75" customHeight="1">
      <c r="A6" s="497"/>
      <c r="B6" s="497"/>
      <c r="C6" s="61"/>
      <c r="D6" s="60"/>
      <c r="E6" s="60"/>
      <c r="F6" s="60"/>
      <c r="G6" s="63"/>
      <c r="H6" s="63"/>
      <c r="I6" s="63"/>
      <c r="J6" s="63"/>
    </row>
    <row r="7" spans="1:10" ht="18.75" customHeight="1">
      <c r="A7" s="61"/>
      <c r="B7" s="61"/>
      <c r="C7" s="61"/>
      <c r="D7" s="60"/>
      <c r="E7" s="60"/>
      <c r="F7" s="60"/>
      <c r="G7" s="63"/>
      <c r="H7" s="63"/>
      <c r="I7" s="63"/>
      <c r="J7" s="63"/>
    </row>
    <row r="8" spans="1:10" ht="18.75" customHeight="1">
      <c r="C8" s="61"/>
      <c r="D8" s="60"/>
      <c r="E8" s="60"/>
      <c r="F8" s="60"/>
      <c r="G8" s="490"/>
      <c r="H8" s="490"/>
      <c r="I8" s="490"/>
      <c r="J8" s="490"/>
    </row>
    <row r="9" spans="1:10" ht="18.75" customHeight="1">
      <c r="A9" s="177" t="s">
        <v>365</v>
      </c>
      <c r="B9" s="60"/>
      <c r="C9" s="61"/>
      <c r="D9" s="61"/>
      <c r="E9" s="61"/>
      <c r="F9" s="64"/>
      <c r="G9" s="491" t="s">
        <v>113</v>
      </c>
      <c r="H9" s="491"/>
      <c r="I9" s="491"/>
      <c r="J9" s="491"/>
    </row>
    <row r="10" spans="1:10">
      <c r="A10" s="59"/>
      <c r="B10" s="60"/>
      <c r="C10" s="65"/>
      <c r="D10" s="64"/>
      <c r="E10" s="64"/>
      <c r="F10" s="64"/>
      <c r="G10" s="502"/>
      <c r="H10" s="502"/>
      <c r="I10" s="502"/>
      <c r="J10" s="502"/>
    </row>
    <row r="11" spans="1:10" ht="18.75" customHeight="1">
      <c r="A11" s="499" t="s">
        <v>414</v>
      </c>
      <c r="B11" s="500"/>
      <c r="C11" s="66"/>
      <c r="D11" s="66"/>
      <c r="E11" s="66"/>
      <c r="F11" s="67"/>
      <c r="G11" s="68"/>
      <c r="H11" s="68"/>
      <c r="I11" s="68"/>
      <c r="J11" s="68"/>
    </row>
    <row r="12" spans="1:10" ht="20.25" customHeight="1">
      <c r="A12" s="63"/>
      <c r="B12" s="61"/>
      <c r="C12" s="61"/>
      <c r="D12" s="59"/>
      <c r="E12" s="59"/>
      <c r="F12" s="69"/>
      <c r="G12" s="502"/>
      <c r="H12" s="502"/>
      <c r="I12" s="502"/>
      <c r="J12" s="502"/>
    </row>
    <row r="13" spans="1:10" ht="19.5" customHeight="1">
      <c r="A13" s="178" t="s">
        <v>423</v>
      </c>
      <c r="B13" s="62"/>
      <c r="C13" s="61"/>
      <c r="D13" s="61"/>
      <c r="E13" s="61"/>
      <c r="F13" s="60"/>
      <c r="G13" s="68"/>
      <c r="H13" s="68"/>
      <c r="I13" s="68"/>
      <c r="J13" s="68"/>
    </row>
    <row r="14" spans="1:10" ht="19.5" customHeight="1">
      <c r="A14" s="490" t="s">
        <v>422</v>
      </c>
      <c r="B14" s="490"/>
      <c r="C14" s="61"/>
      <c r="D14" s="61"/>
      <c r="E14" s="61"/>
      <c r="F14" s="60"/>
      <c r="G14" s="502"/>
      <c r="H14" s="502"/>
      <c r="I14" s="502"/>
      <c r="J14" s="502"/>
    </row>
    <row r="15" spans="1:10" ht="19.5" customHeight="1">
      <c r="A15" s="498"/>
      <c r="B15" s="498"/>
      <c r="C15" s="65"/>
      <c r="D15" s="60"/>
      <c r="E15" s="60"/>
      <c r="F15" s="60"/>
      <c r="G15" s="492"/>
      <c r="H15" s="492"/>
      <c r="I15" s="492"/>
      <c r="J15" s="492"/>
    </row>
    <row r="16" spans="1:10" ht="16.5" customHeight="1">
      <c r="A16" s="503"/>
      <c r="B16" s="503"/>
      <c r="C16" s="65"/>
      <c r="D16" s="60"/>
      <c r="E16" s="60"/>
      <c r="F16" s="60"/>
      <c r="G16" s="63"/>
      <c r="H16" s="63"/>
      <c r="I16" s="63"/>
      <c r="J16" s="63"/>
    </row>
    <row r="17" spans="1:10" ht="16.5" customHeight="1">
      <c r="A17" s="61"/>
      <c r="B17" s="61"/>
      <c r="C17" s="65"/>
      <c r="D17" s="60"/>
      <c r="E17" s="60"/>
      <c r="F17" s="60"/>
      <c r="G17" s="63"/>
      <c r="H17" s="63"/>
      <c r="I17" s="63"/>
      <c r="J17" s="63"/>
    </row>
    <row r="18" spans="1:10" ht="18.75" customHeight="1">
      <c r="A18" s="494" t="s">
        <v>366</v>
      </c>
      <c r="B18" s="494"/>
      <c r="C18" s="61"/>
      <c r="D18" s="60"/>
      <c r="E18" s="60"/>
      <c r="F18" s="60"/>
      <c r="G18" s="494" t="s">
        <v>366</v>
      </c>
      <c r="H18" s="494"/>
      <c r="I18" s="494"/>
      <c r="J18" s="494"/>
    </row>
    <row r="19" spans="1:10" ht="15.75" customHeight="1">
      <c r="B19" s="61"/>
      <c r="C19" s="61"/>
      <c r="D19" s="60"/>
      <c r="E19" s="60"/>
      <c r="F19" s="60"/>
      <c r="H19" s="59"/>
      <c r="I19" s="61"/>
      <c r="J19" s="61"/>
    </row>
    <row r="20" spans="1:10" ht="15.75" customHeight="1">
      <c r="A20" s="173" t="s">
        <v>415</v>
      </c>
      <c r="B20" s="176"/>
      <c r="C20" s="61"/>
      <c r="D20" s="61"/>
      <c r="E20" s="61" t="s">
        <v>367</v>
      </c>
      <c r="F20" s="64"/>
      <c r="G20" s="179" t="s">
        <v>416</v>
      </c>
      <c r="H20" s="180"/>
      <c r="I20" s="180"/>
      <c r="J20" s="61"/>
    </row>
    <row r="21" spans="1:10">
      <c r="A21" s="493"/>
      <c r="B21" s="493"/>
      <c r="C21" s="61"/>
      <c r="D21" s="61"/>
      <c r="E21" s="61"/>
      <c r="F21" s="69"/>
      <c r="G21" s="59"/>
      <c r="H21" s="59"/>
      <c r="I21" s="59"/>
      <c r="J21" s="59"/>
    </row>
    <row r="22" spans="1:10">
      <c r="A22" s="178" t="s">
        <v>424</v>
      </c>
      <c r="B22" s="70"/>
      <c r="C22" s="61"/>
      <c r="D22" s="61"/>
      <c r="E22" s="61"/>
      <c r="F22" s="69"/>
      <c r="G22" s="495" t="s">
        <v>437</v>
      </c>
      <c r="H22" s="495"/>
      <c r="I22" s="495"/>
      <c r="J22" s="495"/>
    </row>
    <row r="23" spans="1:10" ht="15.75" customHeight="1">
      <c r="A23" s="490" t="s">
        <v>422</v>
      </c>
      <c r="B23" s="490"/>
      <c r="C23" s="61"/>
      <c r="D23" s="61"/>
      <c r="E23" s="61"/>
      <c r="F23" s="69"/>
      <c r="G23" s="493" t="s">
        <v>422</v>
      </c>
      <c r="H23" s="493"/>
      <c r="I23" s="493"/>
      <c r="J23" s="493"/>
    </row>
    <row r="24" spans="1:10" ht="15.75" customHeight="1">
      <c r="A24" s="59"/>
      <c r="B24" s="61"/>
      <c r="C24" s="61"/>
      <c r="D24" s="61"/>
      <c r="E24" s="61"/>
      <c r="F24" s="59"/>
      <c r="G24" s="492"/>
      <c r="H24" s="492"/>
      <c r="I24" s="492"/>
      <c r="J24" s="492"/>
    </row>
    <row r="25" spans="1:10">
      <c r="C25" s="71"/>
      <c r="D25" s="72"/>
      <c r="E25" s="72"/>
      <c r="F25" s="69"/>
      <c r="G25" s="492"/>
      <c r="H25" s="492"/>
      <c r="I25" s="492"/>
      <c r="J25" s="492"/>
    </row>
    <row r="26" spans="1:10" ht="18" customHeight="1">
      <c r="A26" s="59"/>
      <c r="B26" s="73"/>
      <c r="C26" s="71"/>
      <c r="D26" s="72"/>
      <c r="E26" s="72"/>
      <c r="F26" s="69"/>
      <c r="G26" s="74"/>
      <c r="H26" s="74"/>
      <c r="I26" s="74"/>
      <c r="J26" s="74"/>
    </row>
    <row r="27" spans="1:10" ht="21" customHeight="1">
      <c r="A27" s="59"/>
      <c r="B27" s="59"/>
      <c r="C27" s="65"/>
      <c r="D27" s="74"/>
      <c r="E27" s="74"/>
      <c r="F27" s="74"/>
    </row>
    <row r="28" spans="1:10" ht="21" customHeight="1">
      <c r="B28" s="3"/>
      <c r="C28" s="4"/>
      <c r="D28" s="33"/>
      <c r="E28" s="33"/>
      <c r="F28" s="33"/>
    </row>
    <row r="29" spans="1:10" ht="21" customHeight="1">
      <c r="B29" s="3"/>
      <c r="C29" s="4"/>
      <c r="D29" s="33"/>
      <c r="E29" s="33"/>
      <c r="F29" s="33"/>
      <c r="H29" s="37"/>
      <c r="I29" s="37"/>
      <c r="J29" s="37"/>
    </row>
    <row r="30" spans="1:10">
      <c r="B30" s="4"/>
      <c r="C30" s="4"/>
      <c r="D30" s="4"/>
      <c r="E30" s="4"/>
      <c r="F30" s="4"/>
      <c r="G30" s="16"/>
      <c r="H30" s="16"/>
      <c r="I30" s="16"/>
      <c r="J30" s="16"/>
    </row>
    <row r="31" spans="1:10" ht="20.100000000000001" customHeight="1">
      <c r="A31" s="47"/>
      <c r="B31" s="476"/>
      <c r="C31" s="476"/>
      <c r="D31" s="476"/>
      <c r="E31" s="476"/>
      <c r="F31" s="476"/>
      <c r="G31" s="27"/>
      <c r="H31" s="48">
        <v>2019</v>
      </c>
      <c r="I31" s="23" t="s">
        <v>117</v>
      </c>
      <c r="J31" s="6" t="s">
        <v>173</v>
      </c>
    </row>
    <row r="32" spans="1:10" ht="58.5" customHeight="1">
      <c r="A32" s="39" t="s">
        <v>13</v>
      </c>
      <c r="B32" s="501" t="s">
        <v>682</v>
      </c>
      <c r="C32" s="501"/>
      <c r="D32" s="501"/>
      <c r="E32" s="501"/>
      <c r="F32" s="501"/>
      <c r="G32" s="501"/>
      <c r="H32" s="50">
        <v>25500212</v>
      </c>
      <c r="I32" s="13" t="s">
        <v>116</v>
      </c>
      <c r="J32" s="6"/>
    </row>
    <row r="33" spans="1:10" ht="20.100000000000001" customHeight="1">
      <c r="A33" s="39" t="s">
        <v>14</v>
      </c>
      <c r="B33" s="476" t="s">
        <v>425</v>
      </c>
      <c r="C33" s="476"/>
      <c r="D33" s="476"/>
      <c r="E33" s="476"/>
      <c r="F33" s="476"/>
      <c r="G33" s="27"/>
      <c r="H33" s="48">
        <v>150</v>
      </c>
      <c r="I33" s="13" t="s">
        <v>115</v>
      </c>
      <c r="J33" s="6"/>
    </row>
    <row r="34" spans="1:10" ht="20.100000000000001" customHeight="1">
      <c r="A34" s="39" t="s">
        <v>19</v>
      </c>
      <c r="B34" s="476" t="s">
        <v>426</v>
      </c>
      <c r="C34" s="476"/>
      <c r="D34" s="476"/>
      <c r="E34" s="476"/>
      <c r="F34" s="476"/>
      <c r="G34" s="27"/>
      <c r="H34" s="48">
        <v>510100000</v>
      </c>
      <c r="I34" s="13" t="s">
        <v>114</v>
      </c>
      <c r="J34" s="6"/>
    </row>
    <row r="35" spans="1:10" ht="20.100000000000001" customHeight="1">
      <c r="A35" s="39" t="s">
        <v>66</v>
      </c>
      <c r="B35" s="476" t="s">
        <v>431</v>
      </c>
      <c r="C35" s="476"/>
      <c r="D35" s="476"/>
      <c r="E35" s="476"/>
      <c r="F35" s="476"/>
      <c r="G35" s="28"/>
      <c r="H35" s="50"/>
      <c r="I35" s="13" t="s">
        <v>9</v>
      </c>
      <c r="J35" s="6"/>
    </row>
    <row r="36" spans="1:10" ht="20.100000000000001" customHeight="1">
      <c r="A36" s="39" t="s">
        <v>16</v>
      </c>
      <c r="B36" s="476" t="s">
        <v>417</v>
      </c>
      <c r="C36" s="476"/>
      <c r="D36" s="476"/>
      <c r="E36" s="476"/>
      <c r="F36" s="476"/>
      <c r="G36" s="28"/>
      <c r="H36" s="50"/>
      <c r="I36" s="13" t="s">
        <v>8</v>
      </c>
      <c r="J36" s="6"/>
    </row>
    <row r="37" spans="1:10" ht="20.100000000000001" customHeight="1">
      <c r="A37" s="39" t="s">
        <v>15</v>
      </c>
      <c r="B37" s="476" t="s">
        <v>413</v>
      </c>
      <c r="C37" s="476"/>
      <c r="D37" s="476"/>
      <c r="E37" s="476"/>
      <c r="F37" s="476"/>
      <c r="G37" s="28"/>
      <c r="H37" s="182" t="s">
        <v>430</v>
      </c>
      <c r="I37" s="54" t="s">
        <v>10</v>
      </c>
      <c r="J37" s="6"/>
    </row>
    <row r="38" spans="1:10" ht="20.100000000000001" customHeight="1">
      <c r="A38" s="39" t="s">
        <v>326</v>
      </c>
      <c r="B38" s="476" t="s">
        <v>427</v>
      </c>
      <c r="C38" s="476"/>
      <c r="D38" s="476"/>
      <c r="E38" s="476"/>
      <c r="F38" s="476"/>
      <c r="G38" s="476" t="s">
        <v>144</v>
      </c>
      <c r="H38" s="504"/>
      <c r="I38" s="505"/>
      <c r="J38" s="9"/>
    </row>
    <row r="39" spans="1:10" ht="20.100000000000001" customHeight="1">
      <c r="A39" s="39" t="s">
        <v>20</v>
      </c>
      <c r="B39" s="476" t="s">
        <v>428</v>
      </c>
      <c r="C39" s="476"/>
      <c r="D39" s="476"/>
      <c r="E39" s="476"/>
      <c r="F39" s="476"/>
      <c r="G39" s="476" t="s">
        <v>145</v>
      </c>
      <c r="H39" s="504"/>
      <c r="I39" s="505"/>
      <c r="J39" s="9"/>
    </row>
    <row r="40" spans="1:10" ht="20.100000000000001" customHeight="1">
      <c r="A40" s="39" t="s">
        <v>97</v>
      </c>
      <c r="B40" s="476"/>
      <c r="C40" s="476"/>
      <c r="D40" s="476"/>
      <c r="E40" s="476"/>
      <c r="F40" s="476"/>
      <c r="G40" s="28"/>
      <c r="H40" s="28"/>
      <c r="I40" s="28"/>
      <c r="J40" s="50"/>
    </row>
    <row r="41" spans="1:10" ht="20.100000000000001" customHeight="1">
      <c r="A41" s="39" t="s">
        <v>363</v>
      </c>
      <c r="B41" s="476" t="s">
        <v>673</v>
      </c>
      <c r="C41" s="476"/>
      <c r="D41" s="476"/>
      <c r="E41" s="476"/>
      <c r="F41" s="476"/>
      <c r="G41" s="27"/>
      <c r="H41" s="27"/>
      <c r="I41" s="27"/>
      <c r="J41" s="48"/>
    </row>
    <row r="42" spans="1:10" ht="20.100000000000001" customHeight="1">
      <c r="A42" s="39" t="s">
        <v>11</v>
      </c>
      <c r="B42" s="476" t="s">
        <v>675</v>
      </c>
      <c r="C42" s="476"/>
      <c r="D42" s="476"/>
      <c r="E42" s="476"/>
      <c r="F42" s="476"/>
      <c r="G42" s="28"/>
      <c r="H42" s="28"/>
      <c r="I42" s="28"/>
      <c r="J42" s="50"/>
    </row>
    <row r="43" spans="1:10" ht="20.100000000000001" customHeight="1">
      <c r="A43" s="39" t="s">
        <v>12</v>
      </c>
      <c r="B43" s="476" t="s">
        <v>657</v>
      </c>
      <c r="C43" s="476"/>
      <c r="D43" s="476"/>
      <c r="E43" s="476"/>
      <c r="F43" s="476"/>
      <c r="G43" s="27"/>
      <c r="H43" s="27"/>
      <c r="I43" s="27"/>
      <c r="J43" s="48"/>
    </row>
    <row r="44" spans="1:10">
      <c r="A44" s="477" t="s">
        <v>674</v>
      </c>
      <c r="B44" s="477"/>
      <c r="C44" s="477"/>
      <c r="D44" s="477"/>
      <c r="E44" s="477"/>
      <c r="F44" s="477"/>
      <c r="G44" s="477"/>
      <c r="H44" s="477"/>
      <c r="I44" s="477"/>
      <c r="J44" s="477"/>
    </row>
    <row r="45" spans="1:10" ht="9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477" t="s">
        <v>152</v>
      </c>
      <c r="B46" s="477"/>
      <c r="C46" s="477"/>
      <c r="D46" s="477"/>
      <c r="E46" s="477"/>
      <c r="F46" s="477"/>
      <c r="G46" s="477"/>
      <c r="H46" s="477"/>
      <c r="I46" s="477"/>
      <c r="J46" s="477"/>
    </row>
    <row r="47" spans="1:10" ht="23.25" customHeight="1">
      <c r="B47" s="17"/>
      <c r="C47" s="4"/>
      <c r="D47" s="17"/>
      <c r="E47" s="17"/>
      <c r="F47" s="17"/>
      <c r="G47" s="17"/>
      <c r="H47" s="17"/>
      <c r="I47" s="17"/>
      <c r="J47" s="17" t="s">
        <v>377</v>
      </c>
    </row>
    <row r="48" spans="1:10" ht="41.25" customHeight="1">
      <c r="A48" s="489" t="s">
        <v>179</v>
      </c>
      <c r="B48" s="487" t="s">
        <v>17</v>
      </c>
      <c r="C48" s="485"/>
      <c r="D48" s="485"/>
      <c r="E48" s="483"/>
      <c r="F48" s="487" t="s">
        <v>512</v>
      </c>
      <c r="G48" s="480" t="s">
        <v>180</v>
      </c>
      <c r="H48" s="481"/>
      <c r="I48" s="481"/>
      <c r="J48" s="482"/>
    </row>
    <row r="49" spans="1:13" ht="77.25" customHeight="1">
      <c r="A49" s="489"/>
      <c r="B49" s="487"/>
      <c r="C49" s="486"/>
      <c r="D49" s="486"/>
      <c r="E49" s="484"/>
      <c r="F49" s="487"/>
      <c r="G49" s="219" t="s">
        <v>513</v>
      </c>
      <c r="H49" s="219" t="s">
        <v>514</v>
      </c>
      <c r="I49" s="487" t="s">
        <v>515</v>
      </c>
      <c r="J49" s="488"/>
    </row>
    <row r="50" spans="1:13" ht="20.100000000000001" customHeight="1">
      <c r="A50" s="6">
        <v>1</v>
      </c>
      <c r="B50" s="7">
        <v>2</v>
      </c>
      <c r="C50" s="7">
        <v>3</v>
      </c>
      <c r="D50" s="7">
        <v>4</v>
      </c>
      <c r="E50" s="7">
        <v>5</v>
      </c>
      <c r="F50" s="7">
        <v>6</v>
      </c>
      <c r="G50" s="7">
        <v>7</v>
      </c>
      <c r="H50" s="7">
        <v>8</v>
      </c>
      <c r="I50" s="487">
        <v>9</v>
      </c>
      <c r="J50" s="488"/>
    </row>
    <row r="51" spans="1:13" ht="24.95" customHeight="1">
      <c r="A51" s="475" t="s">
        <v>89</v>
      </c>
      <c r="B51" s="475"/>
      <c r="C51" s="475"/>
      <c r="D51" s="475"/>
      <c r="E51" s="475"/>
      <c r="F51" s="475"/>
      <c r="G51" s="475"/>
      <c r="H51" s="475"/>
      <c r="I51" s="475"/>
      <c r="J51" s="475"/>
    </row>
    <row r="52" spans="1:13" ht="20.100000000000001" customHeight="1">
      <c r="A52" s="79" t="s">
        <v>153</v>
      </c>
      <c r="B52" s="80">
        <v>1000</v>
      </c>
      <c r="C52" s="106">
        <f>'I. Фін результат'!C8</f>
        <v>0</v>
      </c>
      <c r="D52" s="106">
        <f>'I. Фін результат'!D8</f>
        <v>0</v>
      </c>
      <c r="E52" s="106">
        <f>'I. Фін результат'!E8</f>
        <v>0</v>
      </c>
      <c r="F52" s="106">
        <f>'I. Фін результат'!F8</f>
        <v>236.39999999999998</v>
      </c>
      <c r="G52" s="199">
        <f>F52*105.6%</f>
        <v>249.63839999999999</v>
      </c>
      <c r="H52" s="199">
        <f>G52*105%</f>
        <v>262.12031999999999</v>
      </c>
      <c r="I52" s="478">
        <f>H52*105%</f>
        <v>275.226336</v>
      </c>
      <c r="J52" s="479"/>
    </row>
    <row r="53" spans="1:13" ht="20.100000000000001" customHeight="1">
      <c r="A53" s="79" t="s">
        <v>134</v>
      </c>
      <c r="B53" s="80">
        <v>1010</v>
      </c>
      <c r="C53" s="106">
        <f>'I. Фін результат'!C9</f>
        <v>0</v>
      </c>
      <c r="D53" s="106">
        <f>'I. Фін результат'!D9</f>
        <v>0</v>
      </c>
      <c r="E53" s="106">
        <f>'I. Фін результат'!E9</f>
        <v>0</v>
      </c>
      <c r="F53" s="106">
        <f>'I. Фін результат'!F9</f>
        <v>-28684.200000000004</v>
      </c>
      <c r="G53" s="199">
        <f>F53*105.6%</f>
        <v>-30290.515200000005</v>
      </c>
      <c r="H53" s="199">
        <f>G53*105%</f>
        <v>-31805.040960000006</v>
      </c>
      <c r="I53" s="199">
        <f>H53*105%</f>
        <v>-33395.293008000008</v>
      </c>
      <c r="J53" s="199"/>
    </row>
    <row r="54" spans="1:13" ht="20.100000000000001" customHeight="1">
      <c r="A54" s="82" t="s">
        <v>195</v>
      </c>
      <c r="B54" s="80">
        <v>1020</v>
      </c>
      <c r="C54" s="86">
        <f>SUM(C52:C53)</f>
        <v>0</v>
      </c>
      <c r="D54" s="86">
        <f t="shared" ref="D54:I54" si="0">SUM(D52:D53)</f>
        <v>0</v>
      </c>
      <c r="E54" s="86">
        <f t="shared" si="0"/>
        <v>0</v>
      </c>
      <c r="F54" s="86">
        <f t="shared" si="0"/>
        <v>-28447.800000000003</v>
      </c>
      <c r="G54" s="202">
        <f t="shared" si="0"/>
        <v>-30040.876800000005</v>
      </c>
      <c r="H54" s="202">
        <f t="shared" si="0"/>
        <v>-31542.920640000004</v>
      </c>
      <c r="I54" s="202">
        <f t="shared" si="0"/>
        <v>-33120.066672000008</v>
      </c>
      <c r="J54" s="202">
        <f>SUM(J52:J53)</f>
        <v>0</v>
      </c>
    </row>
    <row r="55" spans="1:13" ht="20.100000000000001" customHeight="1">
      <c r="A55" s="79" t="s">
        <v>119</v>
      </c>
      <c r="B55" s="80">
        <v>1030</v>
      </c>
      <c r="C55" s="106">
        <f>'I. Фін результат'!C19</f>
        <v>0</v>
      </c>
      <c r="D55" s="106">
        <f>'I. Фін результат'!D19</f>
        <v>0</v>
      </c>
      <c r="E55" s="106">
        <f>'I. Фін результат'!E19</f>
        <v>0</v>
      </c>
      <c r="F55" s="106">
        <f>'I. Фін результат'!F19</f>
        <v>-14158.2</v>
      </c>
      <c r="G55" s="199">
        <f>F55*105.6%</f>
        <v>-14951.059200000002</v>
      </c>
      <c r="H55" s="199">
        <f>G55*105%</f>
        <v>-15698.612160000002</v>
      </c>
      <c r="I55" s="199">
        <f>H55*105%</f>
        <v>-16483.542768000003</v>
      </c>
      <c r="J55" s="199"/>
    </row>
    <row r="56" spans="1:13" ht="20.100000000000001" customHeight="1">
      <c r="A56" s="79" t="s">
        <v>118</v>
      </c>
      <c r="B56" s="80">
        <v>1060</v>
      </c>
      <c r="C56" s="106">
        <f>'I. Фін результат'!C42</f>
        <v>0</v>
      </c>
      <c r="D56" s="106">
        <f>'I. Фін результат'!D42</f>
        <v>0</v>
      </c>
      <c r="E56" s="106">
        <f>'I. Фін результат'!E42</f>
        <v>0</v>
      </c>
      <c r="F56" s="106">
        <f>'I. Фін результат'!F42</f>
        <v>0</v>
      </c>
      <c r="G56" s="199">
        <f>F56*105.6%</f>
        <v>0</v>
      </c>
      <c r="H56" s="199">
        <f t="shared" ref="H56:I58" si="1">G56*105%</f>
        <v>0</v>
      </c>
      <c r="I56" s="199">
        <f t="shared" si="1"/>
        <v>0</v>
      </c>
      <c r="J56" s="199"/>
    </row>
    <row r="57" spans="1:13" ht="20.100000000000001" customHeight="1">
      <c r="A57" s="79" t="s">
        <v>221</v>
      </c>
      <c r="B57" s="80">
        <v>1070</v>
      </c>
      <c r="C57" s="106">
        <f>'I. Фін результат'!C50</f>
        <v>0</v>
      </c>
      <c r="D57" s="106">
        <f>'I. Фін результат'!D50</f>
        <v>0</v>
      </c>
      <c r="E57" s="106">
        <f>'I. Фін результат'!E50</f>
        <v>0</v>
      </c>
      <c r="F57" s="106">
        <f>'I. Фін результат'!F50</f>
        <v>56105.5</v>
      </c>
      <c r="G57" s="199">
        <f>F57*105.6%</f>
        <v>59247.408000000003</v>
      </c>
      <c r="H57" s="199">
        <f t="shared" si="1"/>
        <v>62209.778400000003</v>
      </c>
      <c r="I57" s="199">
        <f t="shared" si="1"/>
        <v>65320.267320000006</v>
      </c>
      <c r="J57" s="199"/>
    </row>
    <row r="58" spans="1:13" ht="20.100000000000001" customHeight="1">
      <c r="A58" s="79" t="s">
        <v>28</v>
      </c>
      <c r="B58" s="80">
        <v>1080</v>
      </c>
      <c r="C58" s="106">
        <f>'I. Фін результат'!C54</f>
        <v>0</v>
      </c>
      <c r="D58" s="106">
        <f>'I. Фін результат'!D54</f>
        <v>0</v>
      </c>
      <c r="E58" s="106">
        <f>'I. Фін результат'!E54</f>
        <v>0</v>
      </c>
      <c r="F58" s="106">
        <f>'I. Фін результат'!F54</f>
        <v>-13829</v>
      </c>
      <c r="G58" s="199">
        <f>F58*105.6%</f>
        <v>-14603.424000000001</v>
      </c>
      <c r="H58" s="199">
        <f t="shared" si="1"/>
        <v>-15333.595200000002</v>
      </c>
      <c r="I58" s="199">
        <f t="shared" si="1"/>
        <v>-16100.274960000002</v>
      </c>
      <c r="J58" s="199"/>
    </row>
    <row r="59" spans="1:13" ht="20.100000000000001" customHeight="1">
      <c r="A59" s="84" t="s">
        <v>4</v>
      </c>
      <c r="B59" s="80">
        <v>1100</v>
      </c>
      <c r="C59" s="86">
        <f>SUM(C54:C58)</f>
        <v>0</v>
      </c>
      <c r="D59" s="86">
        <f t="shared" ref="D59:J59" si="2">SUM(D54:D58)</f>
        <v>0</v>
      </c>
      <c r="E59" s="86">
        <f t="shared" si="2"/>
        <v>0</v>
      </c>
      <c r="F59" s="86">
        <f t="shared" si="2"/>
        <v>-329.5</v>
      </c>
      <c r="G59" s="202">
        <f t="shared" si="2"/>
        <v>-347.95200000000659</v>
      </c>
      <c r="H59" s="202">
        <f t="shared" si="2"/>
        <v>-365.34960000000683</v>
      </c>
      <c r="I59" s="202">
        <f t="shared" si="2"/>
        <v>-383.6170800000109</v>
      </c>
      <c r="J59" s="202">
        <f t="shared" si="2"/>
        <v>0</v>
      </c>
    </row>
    <row r="60" spans="1:13" ht="20.100000000000001" customHeight="1">
      <c r="A60" s="85" t="s">
        <v>120</v>
      </c>
      <c r="B60" s="80">
        <v>1310</v>
      </c>
      <c r="C60" s="86">
        <f>'I. Фін результат'!C90</f>
        <v>0</v>
      </c>
      <c r="D60" s="86">
        <f>'I. Фін результат'!D90</f>
        <v>0</v>
      </c>
      <c r="E60" s="86">
        <f>'I. Фін результат'!E90</f>
        <v>0</v>
      </c>
      <c r="F60" s="86">
        <f>'I. Фін результат'!F90</f>
        <v>4.5474735088646412E-13</v>
      </c>
      <c r="G60" s="199"/>
      <c r="H60" s="199"/>
      <c r="I60" s="199"/>
      <c r="J60" s="199"/>
      <c r="M60" s="3" t="s">
        <v>408</v>
      </c>
    </row>
    <row r="61" spans="1:13" ht="20.100000000000001" customHeight="1">
      <c r="A61" s="85" t="s">
        <v>166</v>
      </c>
      <c r="B61" s="80">
        <f>' V. Коефіцієнти'!B9</f>
        <v>5010</v>
      </c>
      <c r="C61" s="190" t="e">
        <f t="shared" ref="C61:J61" si="3">(C60/C52)*100</f>
        <v>#DIV/0!</v>
      </c>
      <c r="D61" s="190" t="e">
        <f t="shared" si="3"/>
        <v>#DIV/0!</v>
      </c>
      <c r="E61" s="190" t="e">
        <f t="shared" si="3"/>
        <v>#DIV/0!</v>
      </c>
      <c r="F61" s="86">
        <f t="shared" si="3"/>
        <v>1.9236351560341125E-13</v>
      </c>
      <c r="G61" s="202">
        <f t="shared" si="3"/>
        <v>0</v>
      </c>
      <c r="H61" s="202">
        <f t="shared" si="3"/>
        <v>0</v>
      </c>
      <c r="I61" s="202">
        <f t="shared" si="3"/>
        <v>0</v>
      </c>
      <c r="J61" s="202" t="e">
        <f t="shared" si="3"/>
        <v>#DIV/0!</v>
      </c>
    </row>
    <row r="62" spans="1:13" ht="20.100000000000001" customHeight="1">
      <c r="A62" s="87" t="s">
        <v>222</v>
      </c>
      <c r="B62" s="88">
        <v>1110</v>
      </c>
      <c r="C62" s="106">
        <f>'I. Фін результат'!C62</f>
        <v>0</v>
      </c>
      <c r="D62" s="106">
        <f>'I. Фін результат'!D62</f>
        <v>0</v>
      </c>
      <c r="E62" s="106">
        <f>'I. Фін результат'!E62</f>
        <v>0</v>
      </c>
      <c r="F62" s="106">
        <f>'I. Фін результат'!F62</f>
        <v>0</v>
      </c>
      <c r="G62" s="199"/>
      <c r="H62" s="199"/>
      <c r="I62" s="199"/>
      <c r="J62" s="199"/>
    </row>
    <row r="63" spans="1:13" ht="20.100000000000001" customHeight="1">
      <c r="A63" s="87" t="s">
        <v>223</v>
      </c>
      <c r="B63" s="88">
        <v>1120</v>
      </c>
      <c r="C63" s="106" t="str">
        <f>'I. Фін результат'!C63</f>
        <v>(    )</v>
      </c>
      <c r="D63" s="106" t="str">
        <f>'I. Фін результат'!D63</f>
        <v>(    )</v>
      </c>
      <c r="E63" s="106" t="str">
        <f>'I. Фін результат'!E63</f>
        <v>(    )</v>
      </c>
      <c r="F63" s="106">
        <f>'I. Фін результат'!F63</f>
        <v>0</v>
      </c>
      <c r="G63" s="199"/>
      <c r="H63" s="199"/>
      <c r="I63" s="199"/>
      <c r="J63" s="199"/>
    </row>
    <row r="64" spans="1:13" ht="20.100000000000001" customHeight="1">
      <c r="A64" s="87" t="s">
        <v>224</v>
      </c>
      <c r="B64" s="88">
        <v>1130</v>
      </c>
      <c r="C64" s="106">
        <f>'I. Фін результат'!C64</f>
        <v>0</v>
      </c>
      <c r="D64" s="106">
        <f>'I. Фін результат'!D64</f>
        <v>0</v>
      </c>
      <c r="E64" s="106">
        <f>'I. Фін результат'!E64</f>
        <v>0</v>
      </c>
      <c r="F64" s="106">
        <f>'I. Фін результат'!F64</f>
        <v>0</v>
      </c>
      <c r="G64" s="199"/>
      <c r="H64" s="199"/>
      <c r="I64" s="199"/>
      <c r="J64" s="199"/>
    </row>
    <row r="65" spans="1:13" ht="20.100000000000001" customHeight="1">
      <c r="A65" s="87" t="s">
        <v>225</v>
      </c>
      <c r="B65" s="88">
        <v>1140</v>
      </c>
      <c r="C65" s="106" t="str">
        <f>'I. Фін результат'!C65</f>
        <v>(    )</v>
      </c>
      <c r="D65" s="106" t="str">
        <f>'I. Фін результат'!D65</f>
        <v>(    )</v>
      </c>
      <c r="E65" s="106" t="str">
        <f>'I. Фін результат'!E65</f>
        <v>(    )</v>
      </c>
      <c r="F65" s="106">
        <f>'I. Фін результат'!F65</f>
        <v>0</v>
      </c>
      <c r="G65" s="199"/>
      <c r="H65" s="199"/>
      <c r="I65" s="199"/>
      <c r="J65" s="199"/>
    </row>
    <row r="66" spans="1:13" ht="20.100000000000001" customHeight="1">
      <c r="A66" s="87" t="s">
        <v>227</v>
      </c>
      <c r="B66" s="88">
        <v>1150</v>
      </c>
      <c r="C66" s="106">
        <f>'I. Фін результат'!C66</f>
        <v>0</v>
      </c>
      <c r="D66" s="106">
        <f>'I. Фін результат'!D66</f>
        <v>0</v>
      </c>
      <c r="E66" s="106">
        <f>'I. Фін результат'!E66</f>
        <v>0</v>
      </c>
      <c r="F66" s="106">
        <f>'I. Фін результат'!F66</f>
        <v>329.5</v>
      </c>
      <c r="G66" s="199">
        <f>F66*105.6%</f>
        <v>347.952</v>
      </c>
      <c r="H66" s="199">
        <f>G66*105%</f>
        <v>365.34960000000001</v>
      </c>
      <c r="I66" s="199">
        <f>H66*105%</f>
        <v>383.61708000000004</v>
      </c>
      <c r="J66" s="199"/>
      <c r="M66" s="3" t="s">
        <v>408</v>
      </c>
    </row>
    <row r="67" spans="1:13" ht="20.100000000000001" customHeight="1">
      <c r="A67" s="79" t="s">
        <v>228</v>
      </c>
      <c r="B67" s="80">
        <v>1160</v>
      </c>
      <c r="C67" s="106">
        <f>'I. Фін результат'!C69</f>
        <v>0</v>
      </c>
      <c r="D67" s="106">
        <f>'I. Фін результат'!D69</f>
        <v>0</v>
      </c>
      <c r="E67" s="106">
        <f>'I. Фін результат'!E69</f>
        <v>0</v>
      </c>
      <c r="F67" s="106">
        <f>'I. Фін результат'!F69</f>
        <v>0</v>
      </c>
      <c r="G67" s="106"/>
      <c r="H67" s="106"/>
      <c r="I67" s="106"/>
      <c r="J67" s="106"/>
    </row>
    <row r="68" spans="1:13" ht="20.100000000000001" customHeight="1">
      <c r="A68" s="85" t="s">
        <v>88</v>
      </c>
      <c r="B68" s="80">
        <v>1170</v>
      </c>
      <c r="C68" s="86">
        <f>SUM(C59, C62:C67)</f>
        <v>0</v>
      </c>
      <c r="D68" s="86">
        <f t="shared" ref="D68:J68" si="4">SUM(D59, D62:D67)</f>
        <v>0</v>
      </c>
      <c r="E68" s="86">
        <f t="shared" si="4"/>
        <v>0</v>
      </c>
      <c r="F68" s="86">
        <f t="shared" si="4"/>
        <v>0</v>
      </c>
      <c r="G68" s="190">
        <f t="shared" si="4"/>
        <v>-6.5938365878537297E-12</v>
      </c>
      <c r="H68" s="190">
        <f t="shared" si="4"/>
        <v>-6.8212102632969618E-12</v>
      </c>
      <c r="I68" s="190">
        <f t="shared" si="4"/>
        <v>-1.0857093002414331E-11</v>
      </c>
      <c r="J68" s="86">
        <f t="shared" si="4"/>
        <v>0</v>
      </c>
    </row>
    <row r="69" spans="1:13" ht="20.100000000000001" customHeight="1">
      <c r="A69" s="87" t="s">
        <v>229</v>
      </c>
      <c r="B69" s="89">
        <v>1180</v>
      </c>
      <c r="C69" s="106" t="str">
        <f>'I. Фін результат'!C73</f>
        <v>(    )</v>
      </c>
      <c r="D69" s="106" t="str">
        <f>'I. Фін результат'!D73</f>
        <v>(    )</v>
      </c>
      <c r="E69" s="106" t="str">
        <f>'I. Фін результат'!E73</f>
        <v>(    )</v>
      </c>
      <c r="F69" s="106">
        <f>'I. Фін результат'!F73</f>
        <v>0</v>
      </c>
      <c r="G69" s="192"/>
      <c r="H69" s="192"/>
      <c r="I69" s="192"/>
      <c r="J69" s="106"/>
    </row>
    <row r="70" spans="1:13" ht="20.100000000000001" customHeight="1">
      <c r="A70" s="87" t="s">
        <v>230</v>
      </c>
      <c r="B70" s="89">
        <v>1181</v>
      </c>
      <c r="C70" s="106">
        <f>'I. Фін результат'!C74</f>
        <v>0</v>
      </c>
      <c r="D70" s="106">
        <f>'I. Фін результат'!D74</f>
        <v>0</v>
      </c>
      <c r="E70" s="106">
        <f>'I. Фін результат'!E74</f>
        <v>0</v>
      </c>
      <c r="F70" s="106">
        <f>'I. Фін результат'!F74</f>
        <v>0</v>
      </c>
      <c r="G70" s="192"/>
      <c r="H70" s="192"/>
      <c r="I70" s="192"/>
      <c r="J70" s="106"/>
    </row>
    <row r="71" spans="1:13" ht="20.100000000000001" customHeight="1">
      <c r="A71" s="87" t="s">
        <v>231</v>
      </c>
      <c r="B71" s="88">
        <v>1190</v>
      </c>
      <c r="C71" s="106">
        <f>'I. Фін результат'!C75</f>
        <v>0</v>
      </c>
      <c r="D71" s="106">
        <f>'I. Фін результат'!D75</f>
        <v>0</v>
      </c>
      <c r="E71" s="106">
        <f>'I. Фін результат'!E75</f>
        <v>0</v>
      </c>
      <c r="F71" s="106">
        <f>'I. Фін результат'!F75</f>
        <v>0</v>
      </c>
      <c r="G71" s="192"/>
      <c r="H71" s="192"/>
      <c r="I71" s="192"/>
      <c r="J71" s="106"/>
      <c r="M71" s="3" t="s">
        <v>408</v>
      </c>
    </row>
    <row r="72" spans="1:13" ht="20.100000000000001" customHeight="1">
      <c r="A72" s="87" t="s">
        <v>232</v>
      </c>
      <c r="B72" s="80">
        <v>1191</v>
      </c>
      <c r="C72" s="106" t="str">
        <f>'I. Фін результат'!C76</f>
        <v>(    )</v>
      </c>
      <c r="D72" s="106" t="str">
        <f>'I. Фін результат'!D76</f>
        <v>(    )</v>
      </c>
      <c r="E72" s="106" t="str">
        <f>'I. Фін результат'!E76</f>
        <v>(    )</v>
      </c>
      <c r="F72" s="106">
        <f>'I. Фін результат'!F76</f>
        <v>0</v>
      </c>
      <c r="G72" s="192"/>
      <c r="H72" s="192"/>
      <c r="I72" s="192"/>
      <c r="J72" s="106"/>
    </row>
    <row r="73" spans="1:13" ht="20.100000000000001" customHeight="1">
      <c r="A73" s="84" t="s">
        <v>324</v>
      </c>
      <c r="B73" s="80">
        <v>1200</v>
      </c>
      <c r="C73" s="86">
        <f>SUM(C68:C72)</f>
        <v>0</v>
      </c>
      <c r="D73" s="86">
        <f t="shared" ref="D73:J73" si="5">SUM(D68:D72)</f>
        <v>0</v>
      </c>
      <c r="E73" s="86">
        <f t="shared" si="5"/>
        <v>0</v>
      </c>
      <c r="F73" s="86">
        <f t="shared" si="5"/>
        <v>0</v>
      </c>
      <c r="G73" s="190">
        <f t="shared" si="5"/>
        <v>-6.5938365878537297E-12</v>
      </c>
      <c r="H73" s="190">
        <f t="shared" si="5"/>
        <v>-6.8212102632969618E-12</v>
      </c>
      <c r="I73" s="190">
        <f t="shared" si="5"/>
        <v>-1.0857093002414331E-11</v>
      </c>
      <c r="J73" s="86">
        <f t="shared" si="5"/>
        <v>0</v>
      </c>
    </row>
    <row r="74" spans="1:13" ht="20.100000000000001" customHeight="1">
      <c r="A74" s="87" t="s">
        <v>327</v>
      </c>
      <c r="B74" s="88">
        <v>1201</v>
      </c>
      <c r="C74" s="106">
        <f>'I. Фін результат'!C78</f>
        <v>0</v>
      </c>
      <c r="D74" s="106">
        <f>'I. Фін результат'!D78</f>
        <v>0</v>
      </c>
      <c r="E74" s="106">
        <f>'I. Фін результат'!E78</f>
        <v>0</v>
      </c>
      <c r="F74" s="106">
        <f>'I. Фін результат'!F78</f>
        <v>0</v>
      </c>
      <c r="G74" s="192"/>
      <c r="H74" s="192"/>
      <c r="I74" s="192"/>
      <c r="J74" s="106"/>
    </row>
    <row r="75" spans="1:13" ht="20.100000000000001" customHeight="1">
      <c r="A75" s="87" t="s">
        <v>328</v>
      </c>
      <c r="B75" s="80">
        <v>1202</v>
      </c>
      <c r="C75" s="106" t="str">
        <f>'I. Фін результат'!C79</f>
        <v>(    )</v>
      </c>
      <c r="D75" s="106" t="str">
        <f>'I. Фін результат'!D79</f>
        <v>(    )</v>
      </c>
      <c r="E75" s="106" t="str">
        <f>'I. Фін результат'!E79</f>
        <v>(    )</v>
      </c>
      <c r="F75" s="106">
        <f>'I. Фін результат'!F79</f>
        <v>0</v>
      </c>
      <c r="G75" s="192"/>
      <c r="H75" s="192"/>
      <c r="I75" s="192"/>
      <c r="J75" s="106"/>
    </row>
    <row r="76" spans="1:13" ht="24.95" customHeight="1">
      <c r="A76" s="468" t="s">
        <v>124</v>
      </c>
      <c r="B76" s="468"/>
      <c r="C76" s="468"/>
      <c r="D76" s="468"/>
      <c r="E76" s="468"/>
      <c r="F76" s="468"/>
      <c r="G76" s="468"/>
      <c r="H76" s="468"/>
      <c r="I76" s="468"/>
      <c r="J76" s="468"/>
    </row>
    <row r="77" spans="1:13" ht="37.5">
      <c r="A77" s="90" t="s">
        <v>313</v>
      </c>
      <c r="B77" s="80">
        <v>2110</v>
      </c>
      <c r="C77" s="86">
        <f>'ІІ. Розр. з бюджетом'!C19</f>
        <v>0</v>
      </c>
      <c r="D77" s="86">
        <f>'ІІ. Розр. з бюджетом'!D19</f>
        <v>0</v>
      </c>
      <c r="E77" s="86">
        <f>'ІІ. Розр. з бюджетом'!E19</f>
        <v>0</v>
      </c>
      <c r="F77" s="86">
        <f>'ІІ. Розр. з бюджетом'!F19</f>
        <v>527.29999999999995</v>
      </c>
      <c r="G77" s="202">
        <f>SUM(G78:G84)</f>
        <v>556.8288</v>
      </c>
      <c r="H77" s="202">
        <f>SUM(H78:H84)</f>
        <v>584.67024000000004</v>
      </c>
      <c r="I77" s="202">
        <f>SUM(I78:I84)</f>
        <v>613.90375200000005</v>
      </c>
      <c r="J77" s="208"/>
      <c r="K77" s="208"/>
    </row>
    <row r="78" spans="1:13" ht="37.5">
      <c r="A78" s="87" t="s">
        <v>389</v>
      </c>
      <c r="B78" s="80">
        <v>2111</v>
      </c>
      <c r="C78" s="106">
        <f>'ІІ. Розр. з бюджетом'!C20</f>
        <v>0</v>
      </c>
      <c r="D78" s="106">
        <f>'ІІ. Розр. з бюджетом'!D20</f>
        <v>0</v>
      </c>
      <c r="E78" s="106">
        <f>'ІІ. Розр. з бюджетом'!E20</f>
        <v>0</v>
      </c>
      <c r="F78" s="106">
        <f>'ІІ. Розр. з бюджетом'!F20</f>
        <v>0</v>
      </c>
      <c r="G78" s="199"/>
      <c r="H78" s="199"/>
      <c r="I78" s="199"/>
      <c r="J78" s="209"/>
      <c r="L78" s="3" t="s">
        <v>408</v>
      </c>
    </row>
    <row r="79" spans="1:13" ht="37.5">
      <c r="A79" s="76" t="s">
        <v>390</v>
      </c>
      <c r="B79" s="89">
        <v>2112</v>
      </c>
      <c r="C79" s="106" t="str">
        <f>'ІІ. Розр. з бюджетом'!C21</f>
        <v>(    )</v>
      </c>
      <c r="D79" s="106" t="str">
        <f>'ІІ. Розр. з бюджетом'!D21</f>
        <v>(    )</v>
      </c>
      <c r="E79" s="106" t="str">
        <f>'ІІ. Розр. з бюджетом'!E21</f>
        <v>(    )</v>
      </c>
      <c r="F79" s="106">
        <f>'ІІ. Розр. з бюджетом'!F21</f>
        <v>0</v>
      </c>
      <c r="G79" s="199" t="s">
        <v>220</v>
      </c>
      <c r="H79" s="199" t="s">
        <v>220</v>
      </c>
      <c r="I79" s="199" t="s">
        <v>220</v>
      </c>
      <c r="J79" s="209" t="s">
        <v>220</v>
      </c>
    </row>
    <row r="80" spans="1:13">
      <c r="A80" s="76" t="s">
        <v>79</v>
      </c>
      <c r="B80" s="91">
        <v>2113</v>
      </c>
      <c r="C80" s="106">
        <f>'ІІ. Розр. з бюджетом'!C22</f>
        <v>0</v>
      </c>
      <c r="D80" s="106">
        <f>'ІІ. Розр. з бюджетом'!D22</f>
        <v>0</v>
      </c>
      <c r="E80" s="106">
        <f>'ІІ. Розр. з бюджетом'!E22</f>
        <v>0</v>
      </c>
      <c r="F80" s="106">
        <f>'ІІ. Розр. з бюджетом'!F22</f>
        <v>0</v>
      </c>
      <c r="G80" s="199"/>
      <c r="H80" s="199"/>
      <c r="I80" s="199"/>
      <c r="J80" s="200"/>
    </row>
    <row r="81" spans="1:13">
      <c r="A81" s="92" t="s">
        <v>95</v>
      </c>
      <c r="B81" s="89">
        <v>2114</v>
      </c>
      <c r="C81" s="106">
        <f>'ІІ. Розр. з бюджетом'!C23</f>
        <v>0</v>
      </c>
      <c r="D81" s="106">
        <f>'ІІ. Розр. з бюджетом'!D23</f>
        <v>0</v>
      </c>
      <c r="E81" s="106">
        <f>'ІІ. Розр. з бюджетом'!E23</f>
        <v>0</v>
      </c>
      <c r="F81" s="106">
        <f>'ІІ. Розр. з бюджетом'!F23</f>
        <v>0</v>
      </c>
      <c r="G81" s="199"/>
      <c r="H81" s="199"/>
      <c r="I81" s="199"/>
      <c r="J81" s="200"/>
    </row>
    <row r="82" spans="1:13">
      <c r="A82" s="92" t="s">
        <v>329</v>
      </c>
      <c r="B82" s="89">
        <v>2115</v>
      </c>
      <c r="C82" s="106"/>
      <c r="D82" s="106"/>
      <c r="E82" s="106"/>
      <c r="F82" s="106"/>
      <c r="G82" s="199"/>
      <c r="H82" s="199"/>
      <c r="I82" s="199"/>
      <c r="J82" s="200"/>
    </row>
    <row r="83" spans="1:13">
      <c r="A83" s="92" t="s">
        <v>78</v>
      </c>
      <c r="B83" s="89">
        <v>2116</v>
      </c>
      <c r="C83" s="106"/>
      <c r="D83" s="106"/>
      <c r="E83" s="106"/>
      <c r="F83" s="106"/>
      <c r="G83" s="199"/>
      <c r="H83" s="199"/>
      <c r="I83" s="199"/>
      <c r="J83" s="200"/>
    </row>
    <row r="84" spans="1:13">
      <c r="A84" s="92" t="s">
        <v>411</v>
      </c>
      <c r="B84" s="89">
        <v>2117</v>
      </c>
      <c r="C84" s="106">
        <f>'ІІ. Розр. з бюджетом'!C24</f>
        <v>0</v>
      </c>
      <c r="D84" s="106">
        <f>'ІІ. Розр. з бюджетом'!D26</f>
        <v>0</v>
      </c>
      <c r="E84" s="106">
        <f>'ІІ. Розр. з бюджетом'!E26</f>
        <v>0</v>
      </c>
      <c r="F84" s="106">
        <f>'ІІ. Розр. з бюджетом'!F26</f>
        <v>527.29999999999995</v>
      </c>
      <c r="G84" s="199">
        <f>F84*105.6%</f>
        <v>556.8288</v>
      </c>
      <c r="H84" s="199">
        <f>G84*105%</f>
        <v>584.67024000000004</v>
      </c>
      <c r="I84" s="199">
        <f>H84*105%</f>
        <v>613.90375200000005</v>
      </c>
      <c r="J84" s="200"/>
      <c r="M84" s="3" t="s">
        <v>408</v>
      </c>
    </row>
    <row r="85" spans="1:13" ht="37.5">
      <c r="A85" s="93" t="s">
        <v>314</v>
      </c>
      <c r="B85" s="89">
        <v>2120</v>
      </c>
      <c r="C85" s="86">
        <f>'ІІ. Розр. з бюджетом'!C27</f>
        <v>0</v>
      </c>
      <c r="D85" s="86">
        <f>'ІІ. Розр. з бюджетом'!D27</f>
        <v>0</v>
      </c>
      <c r="E85" s="86">
        <f>'ІІ. Розр. з бюджетом'!E27</f>
        <v>0</v>
      </c>
      <c r="F85" s="86">
        <f>'ІІ. Розр. з бюджетом'!F27</f>
        <v>6134.5</v>
      </c>
      <c r="G85" s="202">
        <f>F85*105.6%</f>
        <v>6478.0320000000002</v>
      </c>
      <c r="H85" s="202">
        <f>G85*105%</f>
        <v>6801.9336000000003</v>
      </c>
      <c r="I85" s="202">
        <f>H85*105%</f>
        <v>7142.0302800000009</v>
      </c>
      <c r="J85" s="200"/>
    </row>
    <row r="86" spans="1:13" ht="37.5">
      <c r="A86" s="93" t="s">
        <v>385</v>
      </c>
      <c r="B86" s="89">
        <v>2130</v>
      </c>
      <c r="C86" s="86">
        <f>'ІІ. Розр. з бюджетом'!C32</f>
        <v>0</v>
      </c>
      <c r="D86" s="86">
        <f>'ІІ. Розр. з бюджетом'!D32</f>
        <v>0</v>
      </c>
      <c r="E86" s="86">
        <f>'ІІ. Розр. з бюджетом'!E32</f>
        <v>0</v>
      </c>
      <c r="F86" s="86">
        <f>'ІІ. Розр. з бюджетом'!F32</f>
        <v>7980.5</v>
      </c>
      <c r="G86" s="202">
        <f>SUM(G87:G90)</f>
        <v>8451.3495000000003</v>
      </c>
      <c r="H86" s="202">
        <f>SUM(H87:H90)</f>
        <v>8873.9169750000001</v>
      </c>
      <c r="I86" s="202">
        <f>SUM(I87:I90)</f>
        <v>9317.6128237500016</v>
      </c>
      <c r="J86" s="200"/>
      <c r="L86" s="3" t="s">
        <v>408</v>
      </c>
    </row>
    <row r="87" spans="1:13" ht="37.5">
      <c r="A87" s="92" t="s">
        <v>386</v>
      </c>
      <c r="B87" s="89">
        <v>2131</v>
      </c>
      <c r="C87" s="106">
        <f>'ІІ. Розр. з бюджетом'!C33</f>
        <v>0</v>
      </c>
      <c r="D87" s="106">
        <f>'ІІ. Розр. з бюджетом'!D33</f>
        <v>0</v>
      </c>
      <c r="E87" s="106">
        <f>'ІІ. Розр. з бюджетом'!E33</f>
        <v>0</v>
      </c>
      <c r="F87" s="106">
        <f>'ІІ. Розр. з бюджетом'!F33</f>
        <v>0</v>
      </c>
      <c r="G87" s="199"/>
      <c r="H87" s="199"/>
      <c r="I87" s="199"/>
      <c r="J87" s="200"/>
    </row>
    <row r="88" spans="1:13">
      <c r="A88" s="92" t="s">
        <v>318</v>
      </c>
      <c r="B88" s="89">
        <v>2132</v>
      </c>
      <c r="C88" s="106">
        <f>'ІІ. Розр. з бюджетом'!C34</f>
        <v>0</v>
      </c>
      <c r="D88" s="106">
        <f>'ІІ. Розр. з бюджетом'!D34</f>
        <v>0</v>
      </c>
      <c r="E88" s="106">
        <f>'ІІ. Розр. з бюджетом'!E34</f>
        <v>0</v>
      </c>
      <c r="F88" s="106">
        <f>'ІІ. Розр. з бюджетом'!F34</f>
        <v>0</v>
      </c>
      <c r="G88" s="199"/>
      <c r="H88" s="199"/>
      <c r="I88" s="199"/>
      <c r="J88" s="200"/>
      <c r="L88" s="3" t="s">
        <v>408</v>
      </c>
    </row>
    <row r="89" spans="1:13" ht="37.5">
      <c r="A89" s="92" t="s">
        <v>319</v>
      </c>
      <c r="B89" s="89">
        <v>2133</v>
      </c>
      <c r="C89" s="106">
        <f>'ІІ. Розр. з бюджетом'!C35</f>
        <v>0</v>
      </c>
      <c r="D89" s="106">
        <f>'ІІ. Розр. з бюджетом'!D35</f>
        <v>0</v>
      </c>
      <c r="E89" s="106">
        <f>'ІІ. Розр. з бюджетом'!E35</f>
        <v>0</v>
      </c>
      <c r="F89" s="106">
        <f>'ІІ. Розр. з бюджетом'!F35</f>
        <v>7712.4</v>
      </c>
      <c r="G89" s="199">
        <f>(F89*1)*105.9%</f>
        <v>8167.4316000000008</v>
      </c>
      <c r="H89" s="199">
        <f>G89*105%</f>
        <v>8575.8031800000008</v>
      </c>
      <c r="I89" s="199">
        <f>H89*105%</f>
        <v>9004.5933390000009</v>
      </c>
      <c r="J89" s="200"/>
      <c r="K89" s="3" t="s">
        <v>408</v>
      </c>
    </row>
    <row r="90" spans="1:13">
      <c r="A90" s="92" t="s">
        <v>412</v>
      </c>
      <c r="B90" s="89">
        <v>2134</v>
      </c>
      <c r="C90" s="106">
        <f>'ІІ. Розр. з бюджетом'!C36</f>
        <v>0</v>
      </c>
      <c r="D90" s="106">
        <f>'ІІ. Розр. з бюджетом'!D36</f>
        <v>0</v>
      </c>
      <c r="E90" s="106">
        <f>'ІІ. Розр. з бюджетом'!E36</f>
        <v>0</v>
      </c>
      <c r="F90" s="106">
        <f>'ІІ. Розр. з бюджетом'!F36</f>
        <v>268.10000000000002</v>
      </c>
      <c r="G90" s="199">
        <f>(F90*1)*105.9%</f>
        <v>283.91790000000009</v>
      </c>
      <c r="H90" s="199">
        <f>G90*105%</f>
        <v>298.1137950000001</v>
      </c>
      <c r="I90" s="199">
        <f>H90*105%</f>
        <v>313.01948475000012</v>
      </c>
      <c r="J90" s="200"/>
    </row>
    <row r="91" spans="1:13" ht="25.5" customHeight="1">
      <c r="A91" s="93" t="s">
        <v>388</v>
      </c>
      <c r="B91" s="89">
        <v>2200</v>
      </c>
      <c r="C91" s="86">
        <f>'ІІ. Розр. з бюджетом'!C40</f>
        <v>0</v>
      </c>
      <c r="D91" s="86">
        <f>'ІІ. Розр. з бюджетом'!D40</f>
        <v>0</v>
      </c>
      <c r="E91" s="86">
        <f>'ІІ. Розр. з бюджетом'!E40</f>
        <v>0</v>
      </c>
      <c r="F91" s="86">
        <f>'ІІ. Розр. з бюджетом'!F40</f>
        <v>14642.3</v>
      </c>
      <c r="G91" s="86">
        <f>G77+G85+G86</f>
        <v>15486.210300000001</v>
      </c>
      <c r="H91" s="86">
        <f>H77+H85+H86</f>
        <v>16260.520815</v>
      </c>
      <c r="I91" s="86">
        <f>I77+I85+I86</f>
        <v>17073.546855750003</v>
      </c>
      <c r="J91" s="81"/>
      <c r="L91" s="3" t="s">
        <v>408</v>
      </c>
    </row>
    <row r="92" spans="1:13" ht="24.95" customHeight="1">
      <c r="A92" s="468" t="s">
        <v>123</v>
      </c>
      <c r="B92" s="474"/>
      <c r="C92" s="468"/>
      <c r="D92" s="468"/>
      <c r="E92" s="468"/>
      <c r="F92" s="468"/>
      <c r="G92" s="468"/>
      <c r="H92" s="468"/>
      <c r="I92" s="468"/>
      <c r="J92" s="468"/>
    </row>
    <row r="93" spans="1:13" ht="20.100000000000001" customHeight="1">
      <c r="A93" s="94" t="s">
        <v>233</v>
      </c>
      <c r="B93" s="88">
        <v>3405</v>
      </c>
      <c r="C93" s="86">
        <f>'ІІІ. Рух грош. коштів'!C67</f>
        <v>0</v>
      </c>
      <c r="D93" s="86">
        <f>'ІІІ. Рух грош. коштів'!D67</f>
        <v>0</v>
      </c>
      <c r="E93" s="86">
        <f>'ІІІ. Рух грош. коштів'!E67</f>
        <v>0</v>
      </c>
      <c r="F93" s="86">
        <f>'ІІІ. Рух грош. коштів'!F67</f>
        <v>9.1</v>
      </c>
      <c r="G93" s="106" t="s">
        <v>163</v>
      </c>
      <c r="H93" s="106" t="s">
        <v>163</v>
      </c>
      <c r="I93" s="106" t="s">
        <v>163</v>
      </c>
      <c r="J93" s="95" t="s">
        <v>163</v>
      </c>
    </row>
    <row r="94" spans="1:13" ht="20.100000000000001" customHeight="1">
      <c r="A94" s="92" t="s">
        <v>310</v>
      </c>
      <c r="B94" s="96">
        <v>3030</v>
      </c>
      <c r="C94" s="106">
        <f>'ІІІ. Рух грош. коштів'!C12</f>
        <v>0</v>
      </c>
      <c r="D94" s="106">
        <f>'ІІІ. Рух грош. коштів'!D12</f>
        <v>0</v>
      </c>
      <c r="E94" s="106">
        <f>'ІІІ. Рух грош. коштів'!E12</f>
        <v>0</v>
      </c>
      <c r="F94" s="106">
        <f>'ІІІ. Рух грош. коштів'!F12</f>
        <v>54490</v>
      </c>
      <c r="G94" s="106">
        <f>F94*105.6%</f>
        <v>57541.440000000002</v>
      </c>
      <c r="H94" s="106">
        <f>G94*105%</f>
        <v>60418.512000000002</v>
      </c>
      <c r="I94" s="106">
        <f>H94*105%</f>
        <v>63439.437600000005</v>
      </c>
      <c r="J94" s="81"/>
    </row>
    <row r="95" spans="1:13" ht="20.100000000000001" customHeight="1">
      <c r="A95" s="92" t="s">
        <v>234</v>
      </c>
      <c r="B95" s="96">
        <v>3195</v>
      </c>
      <c r="C95" s="106">
        <f>'ІІІ. Рух грош. коштів'!C35</f>
        <v>0</v>
      </c>
      <c r="D95" s="106">
        <f>'ІІІ. Рух грош. коштів'!D35</f>
        <v>0</v>
      </c>
      <c r="E95" s="106">
        <f>'ІІІ. Рух грош. коштів'!E35</f>
        <v>0</v>
      </c>
      <c r="F95" s="106">
        <f>'ІІІ. Рух грош. коштів'!F35</f>
        <v>388.99999999999818</v>
      </c>
      <c r="G95" s="106" t="s">
        <v>163</v>
      </c>
      <c r="H95" s="106" t="s">
        <v>163</v>
      </c>
      <c r="I95" s="106" t="s">
        <v>163</v>
      </c>
      <c r="J95" s="95" t="s">
        <v>163</v>
      </c>
    </row>
    <row r="96" spans="1:13" ht="20.100000000000001" customHeight="1">
      <c r="A96" s="92" t="s">
        <v>127</v>
      </c>
      <c r="B96" s="96">
        <v>3295</v>
      </c>
      <c r="C96" s="106">
        <f>'ІІІ. Рух грош. коштів'!C48</f>
        <v>0</v>
      </c>
      <c r="D96" s="106">
        <f>'ІІІ. Рух грош. коштів'!D48</f>
        <v>0</v>
      </c>
      <c r="E96" s="106">
        <f>'ІІІ. Рух грош. коштів'!E48</f>
        <v>0</v>
      </c>
      <c r="F96" s="106">
        <f>'ІІІ. Рух грош. коштів'!F48</f>
        <v>-398.10000000000036</v>
      </c>
      <c r="G96" s="106" t="s">
        <v>163</v>
      </c>
      <c r="H96" s="106" t="s">
        <v>163</v>
      </c>
      <c r="I96" s="106" t="s">
        <v>163</v>
      </c>
      <c r="J96" s="95" t="s">
        <v>163</v>
      </c>
    </row>
    <row r="97" spans="1:12" ht="20.100000000000001" customHeight="1">
      <c r="A97" s="92" t="s">
        <v>235</v>
      </c>
      <c r="B97" s="88">
        <v>3395</v>
      </c>
      <c r="C97" s="106">
        <f>'ІІІ. Рух грош. коштів'!C65</f>
        <v>0</v>
      </c>
      <c r="D97" s="106">
        <f>'ІІІ. Рух грош. коштів'!D65</f>
        <v>0</v>
      </c>
      <c r="E97" s="106">
        <f>'ІІІ. Рух грош. коштів'!E65</f>
        <v>0</v>
      </c>
      <c r="F97" s="106">
        <f>'ІІІ. Рух грош. коштів'!F65</f>
        <v>0</v>
      </c>
      <c r="G97" s="106" t="s">
        <v>163</v>
      </c>
      <c r="H97" s="106" t="s">
        <v>163</v>
      </c>
      <c r="I97" s="106" t="s">
        <v>163</v>
      </c>
      <c r="J97" s="95" t="s">
        <v>163</v>
      </c>
    </row>
    <row r="98" spans="1:12" ht="20.100000000000001" customHeight="1">
      <c r="A98" s="92" t="s">
        <v>131</v>
      </c>
      <c r="B98" s="88">
        <v>3410</v>
      </c>
      <c r="C98" s="106">
        <f>'ІІІ. Рух грош. коштів'!C68</f>
        <v>0</v>
      </c>
      <c r="D98" s="106">
        <f>'ІІІ. Рух грош. коштів'!D68</f>
        <v>0</v>
      </c>
      <c r="E98" s="106">
        <f>'ІІІ. Рух грош. коштів'!E68</f>
        <v>0</v>
      </c>
      <c r="F98" s="106">
        <f>'ІІІ. Рух грош. коштів'!F68</f>
        <v>0</v>
      </c>
      <c r="G98" s="106" t="s">
        <v>163</v>
      </c>
      <c r="H98" s="106" t="s">
        <v>163</v>
      </c>
      <c r="I98" s="106" t="s">
        <v>163</v>
      </c>
      <c r="J98" s="95" t="s">
        <v>163</v>
      </c>
    </row>
    <row r="99" spans="1:12" ht="20.100000000000001" customHeight="1">
      <c r="A99" s="97" t="s">
        <v>236</v>
      </c>
      <c r="B99" s="88">
        <v>3415</v>
      </c>
      <c r="C99" s="86">
        <f>SUM(C93,C95:C98)</f>
        <v>0</v>
      </c>
      <c r="D99" s="86">
        <f>SUM(D93,D95:D98)</f>
        <v>0</v>
      </c>
      <c r="E99" s="86">
        <f>SUM(E93,E95:E98)</f>
        <v>0</v>
      </c>
      <c r="F99" s="86">
        <f>SUM(F93,F95:F98)</f>
        <v>-2.1600499167107046E-12</v>
      </c>
      <c r="G99" s="106" t="s">
        <v>163</v>
      </c>
      <c r="H99" s="106" t="s">
        <v>163</v>
      </c>
      <c r="I99" s="106" t="s">
        <v>163</v>
      </c>
      <c r="J99" s="95" t="s">
        <v>163</v>
      </c>
    </row>
    <row r="100" spans="1:12" ht="24.95" customHeight="1">
      <c r="A100" s="471" t="s">
        <v>157</v>
      </c>
      <c r="B100" s="472"/>
      <c r="C100" s="472"/>
      <c r="D100" s="472"/>
      <c r="E100" s="472"/>
      <c r="F100" s="472"/>
      <c r="G100" s="472"/>
      <c r="H100" s="472"/>
      <c r="I100" s="472"/>
      <c r="J100" s="473"/>
    </row>
    <row r="101" spans="1:12" ht="20.100000000000001" customHeight="1">
      <c r="A101" s="92" t="s">
        <v>156</v>
      </c>
      <c r="B101" s="88">
        <v>4000</v>
      </c>
      <c r="C101" s="106">
        <f>'IV. Кап. інвестиції'!C7</f>
        <v>0</v>
      </c>
      <c r="D101" s="106">
        <f>'IV. Кап. інвестиції'!D7</f>
        <v>0</v>
      </c>
      <c r="E101" s="106">
        <f>'IV. Кап. інвестиції'!E7</f>
        <v>0</v>
      </c>
      <c r="F101" s="106">
        <f>'IV. Кап. інвестиції'!F7</f>
        <v>5732.7000000000007</v>
      </c>
      <c r="G101" s="106">
        <f>(F101*1)*105.9%</f>
        <v>6070.9293000000016</v>
      </c>
      <c r="H101" s="106">
        <f>G101*105%</f>
        <v>6374.475765000002</v>
      </c>
      <c r="I101" s="106">
        <f>H101*105%</f>
        <v>6693.1995532500023</v>
      </c>
      <c r="J101" s="81"/>
    </row>
    <row r="102" spans="1:12" ht="24.95" customHeight="1">
      <c r="A102" s="467" t="s">
        <v>160</v>
      </c>
      <c r="B102" s="467"/>
      <c r="C102" s="467"/>
      <c r="D102" s="467"/>
      <c r="E102" s="467"/>
      <c r="F102" s="467"/>
      <c r="G102" s="467"/>
      <c r="H102" s="467"/>
      <c r="I102" s="467"/>
      <c r="J102" s="467"/>
    </row>
    <row r="103" spans="1:12" ht="19.5" customHeight="1">
      <c r="A103" s="98" t="s">
        <v>237</v>
      </c>
      <c r="B103" s="99">
        <v>5040</v>
      </c>
      <c r="C103" s="191" t="e">
        <f t="shared" ref="C103:H103" si="6">(C73/C52)*100</f>
        <v>#DIV/0!</v>
      </c>
      <c r="D103" s="204" t="e">
        <f t="shared" si="6"/>
        <v>#DIV/0!</v>
      </c>
      <c r="E103" s="191" t="e">
        <f t="shared" si="6"/>
        <v>#DIV/0!</v>
      </c>
      <c r="F103" s="204">
        <f t="shared" si="6"/>
        <v>0</v>
      </c>
      <c r="G103" s="100">
        <f t="shared" si="6"/>
        <v>-2.6413550911453247E-12</v>
      </c>
      <c r="H103" s="100">
        <f t="shared" si="6"/>
        <v>-2.6023202868426842E-12</v>
      </c>
      <c r="I103" s="100">
        <f>(I73/I52)*100</f>
        <v>-3.9447871014837509E-12</v>
      </c>
      <c r="J103" s="100" t="e">
        <f>(J73/J52)*100</f>
        <v>#DIV/0!</v>
      </c>
      <c r="L103" s="3" t="s">
        <v>408</v>
      </c>
    </row>
    <row r="104" spans="1:12" ht="20.100000000000001" customHeight="1">
      <c r="A104" s="98" t="s">
        <v>238</v>
      </c>
      <c r="B104" s="99">
        <v>5020</v>
      </c>
      <c r="C104" s="191" t="e">
        <f>(C73/C115)*100</f>
        <v>#DIV/0!</v>
      </c>
      <c r="D104" s="204" t="e">
        <f>(D73/D115)*100</f>
        <v>#DIV/0!</v>
      </c>
      <c r="E104" s="191" t="e">
        <f>(E73/E115)*100</f>
        <v>#DIV/0!</v>
      </c>
      <c r="F104" s="204">
        <f>(F73/F115)*100</f>
        <v>0</v>
      </c>
      <c r="G104" s="95" t="s">
        <v>163</v>
      </c>
      <c r="H104" s="95" t="s">
        <v>163</v>
      </c>
      <c r="I104" s="95" t="s">
        <v>163</v>
      </c>
      <c r="J104" s="95" t="s">
        <v>163</v>
      </c>
    </row>
    <row r="105" spans="1:12" ht="20.100000000000001" customHeight="1">
      <c r="A105" s="92" t="s">
        <v>239</v>
      </c>
      <c r="B105" s="80">
        <v>5030</v>
      </c>
      <c r="C105" s="204" t="e">
        <f>(C73/C116)*100</f>
        <v>#DIV/0!</v>
      </c>
      <c r="D105" s="204" t="e">
        <f>(D73/D116)*100</f>
        <v>#DIV/0!</v>
      </c>
      <c r="E105" s="204" t="e">
        <f>(E73/E116)*100</f>
        <v>#DIV/0!</v>
      </c>
      <c r="F105" s="204">
        <f>(F73/F116)*100</f>
        <v>0</v>
      </c>
      <c r="G105" s="95" t="s">
        <v>163</v>
      </c>
      <c r="H105" s="95" t="s">
        <v>163</v>
      </c>
      <c r="I105" s="95" t="s">
        <v>163</v>
      </c>
      <c r="J105" s="95" t="s">
        <v>163</v>
      </c>
    </row>
    <row r="106" spans="1:12" ht="20.100000000000001" customHeight="1">
      <c r="A106" s="101" t="s">
        <v>167</v>
      </c>
      <c r="B106" s="102">
        <v>5110</v>
      </c>
      <c r="C106" s="191" t="e">
        <f>C123/C119</f>
        <v>#DIV/0!</v>
      </c>
      <c r="D106" s="191" t="e">
        <f>D116/D119</f>
        <v>#DIV/0!</v>
      </c>
      <c r="E106" s="191" t="e">
        <f>E116/E119</f>
        <v>#DIV/0!</v>
      </c>
      <c r="F106" s="191" t="e">
        <f>F116/F119</f>
        <v>#DIV/0!</v>
      </c>
      <c r="G106" s="95" t="s">
        <v>163</v>
      </c>
      <c r="H106" s="95" t="s">
        <v>163</v>
      </c>
      <c r="I106" s="95" t="s">
        <v>163</v>
      </c>
      <c r="J106" s="95" t="s">
        <v>163</v>
      </c>
    </row>
    <row r="107" spans="1:12" ht="20.100000000000001" customHeight="1">
      <c r="A107" s="101" t="s">
        <v>240</v>
      </c>
      <c r="B107" s="102">
        <v>5220</v>
      </c>
      <c r="C107" s="191" t="e">
        <f>C112/C111</f>
        <v>#DIV/0!</v>
      </c>
      <c r="D107" s="204" t="e">
        <f>D112/D111</f>
        <v>#DIV/0!</v>
      </c>
      <c r="E107" s="191" t="e">
        <f>E112/E111</f>
        <v>#DIV/0!</v>
      </c>
      <c r="F107" s="322">
        <f>F112/F111</f>
        <v>0.61062811039058962</v>
      </c>
      <c r="G107" s="95" t="s">
        <v>163</v>
      </c>
      <c r="H107" s="95" t="s">
        <v>163</v>
      </c>
      <c r="I107" s="95" t="s">
        <v>163</v>
      </c>
      <c r="J107" s="95" t="s">
        <v>163</v>
      </c>
      <c r="L107" s="3" t="s">
        <v>408</v>
      </c>
    </row>
    <row r="108" spans="1:12" ht="24.95" customHeight="1">
      <c r="A108" s="468" t="s">
        <v>159</v>
      </c>
      <c r="B108" s="468"/>
      <c r="C108" s="468"/>
      <c r="D108" s="468"/>
      <c r="E108" s="468"/>
      <c r="F108" s="468"/>
      <c r="G108" s="468"/>
      <c r="H108" s="468"/>
      <c r="I108" s="468"/>
      <c r="J108" s="468"/>
      <c r="K108" s="3" t="s">
        <v>408</v>
      </c>
      <c r="L108" s="3" t="s">
        <v>408</v>
      </c>
    </row>
    <row r="109" spans="1:12" ht="20.100000000000001" customHeight="1">
      <c r="A109" s="98" t="s">
        <v>241</v>
      </c>
      <c r="B109" s="99">
        <v>6000</v>
      </c>
      <c r="C109" s="106"/>
      <c r="D109" s="106">
        <f>D110</f>
        <v>0</v>
      </c>
      <c r="E109" s="106">
        <f>E110</f>
        <v>0</v>
      </c>
      <c r="F109" s="106">
        <f>F110</f>
        <v>10327.700000000001</v>
      </c>
      <c r="G109" s="95" t="s">
        <v>163</v>
      </c>
      <c r="H109" s="95" t="s">
        <v>163</v>
      </c>
      <c r="I109" s="95" t="s">
        <v>163</v>
      </c>
      <c r="J109" s="95" t="s">
        <v>163</v>
      </c>
    </row>
    <row r="110" spans="1:12" ht="20.100000000000001" customHeight="1">
      <c r="A110" s="98" t="s">
        <v>330</v>
      </c>
      <c r="B110" s="99">
        <v>6001</v>
      </c>
      <c r="C110" s="106">
        <f>C111-C112</f>
        <v>0</v>
      </c>
      <c r="D110" s="106">
        <f>D111-D112</f>
        <v>0</v>
      </c>
      <c r="E110" s="106">
        <f>E111-E112</f>
        <v>0</v>
      </c>
      <c r="F110" s="106">
        <f>F111-F112</f>
        <v>10327.700000000001</v>
      </c>
      <c r="G110" s="95" t="s">
        <v>163</v>
      </c>
      <c r="H110" s="95" t="s">
        <v>163</v>
      </c>
      <c r="I110" s="95" t="s">
        <v>163</v>
      </c>
      <c r="J110" s="95" t="s">
        <v>163</v>
      </c>
    </row>
    <row r="111" spans="1:12" ht="20.100000000000001" customHeight="1">
      <c r="A111" s="98" t="s">
        <v>242</v>
      </c>
      <c r="B111" s="99">
        <v>6002</v>
      </c>
      <c r="C111" s="106"/>
      <c r="D111" s="106"/>
      <c r="E111" s="106"/>
      <c r="F111" s="106">
        <v>26524</v>
      </c>
      <c r="G111" s="95" t="s">
        <v>163</v>
      </c>
      <c r="H111" s="95" t="s">
        <v>163</v>
      </c>
      <c r="I111" s="95" t="s">
        <v>163</v>
      </c>
      <c r="J111" s="95" t="s">
        <v>163</v>
      </c>
    </row>
    <row r="112" spans="1:12" ht="20.100000000000001" customHeight="1">
      <c r="A112" s="98" t="s">
        <v>243</v>
      </c>
      <c r="B112" s="99">
        <v>6003</v>
      </c>
      <c r="C112" s="106"/>
      <c r="D112" s="106"/>
      <c r="E112" s="106"/>
      <c r="F112" s="106">
        <v>16196.3</v>
      </c>
      <c r="G112" s="95" t="s">
        <v>163</v>
      </c>
      <c r="H112" s="95" t="s">
        <v>163</v>
      </c>
      <c r="I112" s="95" t="s">
        <v>163</v>
      </c>
      <c r="J112" s="95" t="s">
        <v>163</v>
      </c>
    </row>
    <row r="113" spans="1:10" ht="20.100000000000001" customHeight="1">
      <c r="A113" s="92" t="s">
        <v>244</v>
      </c>
      <c r="B113" s="80">
        <v>6010</v>
      </c>
      <c r="C113" s="106"/>
      <c r="D113" s="106"/>
      <c r="E113" s="199"/>
      <c r="F113" s="106"/>
      <c r="G113" s="95" t="s">
        <v>163</v>
      </c>
      <c r="H113" s="95" t="s">
        <v>163</v>
      </c>
      <c r="I113" s="95" t="s">
        <v>163</v>
      </c>
      <c r="J113" s="95" t="s">
        <v>163</v>
      </c>
    </row>
    <row r="114" spans="1:10" ht="20.100000000000001" customHeight="1">
      <c r="A114" s="92" t="s">
        <v>331</v>
      </c>
      <c r="B114" s="80">
        <v>6011</v>
      </c>
      <c r="C114" s="106"/>
      <c r="D114" s="106"/>
      <c r="E114" s="199"/>
      <c r="F114" s="106"/>
      <c r="G114" s="95" t="s">
        <v>163</v>
      </c>
      <c r="H114" s="95" t="s">
        <v>163</v>
      </c>
      <c r="I114" s="95" t="s">
        <v>163</v>
      </c>
      <c r="J114" s="95" t="s">
        <v>163</v>
      </c>
    </row>
    <row r="115" spans="1:10" s="5" customFormat="1" ht="20.100000000000001" customHeight="1">
      <c r="A115" s="93" t="s">
        <v>182</v>
      </c>
      <c r="B115" s="80">
        <v>6020</v>
      </c>
      <c r="C115" s="106">
        <f>-C109+C113</f>
        <v>0</v>
      </c>
      <c r="D115" s="106">
        <f>D109+D113</f>
        <v>0</v>
      </c>
      <c r="E115" s="199">
        <f>E109+E113</f>
        <v>0</v>
      </c>
      <c r="F115" s="106">
        <f>F109+F113</f>
        <v>10327.700000000001</v>
      </c>
      <c r="G115" s="95" t="s">
        <v>163</v>
      </c>
      <c r="H115" s="95" t="s">
        <v>163</v>
      </c>
      <c r="I115" s="95" t="s">
        <v>163</v>
      </c>
      <c r="J115" s="95" t="s">
        <v>163</v>
      </c>
    </row>
    <row r="116" spans="1:10" s="5" customFormat="1" ht="20.100000000000001" customHeight="1">
      <c r="A116" s="92" t="s">
        <v>121</v>
      </c>
      <c r="B116" s="80">
        <v>6030</v>
      </c>
      <c r="C116" s="106"/>
      <c r="D116" s="106"/>
      <c r="E116" s="199"/>
      <c r="F116" s="199">
        <v>10327.700000000001</v>
      </c>
      <c r="G116" s="95"/>
      <c r="H116" s="95"/>
      <c r="I116" s="95"/>
      <c r="J116" s="95"/>
    </row>
    <row r="117" spans="1:10" ht="20.100000000000001" customHeight="1">
      <c r="A117" s="92" t="s">
        <v>132</v>
      </c>
      <c r="B117" s="80">
        <v>6040</v>
      </c>
      <c r="C117" s="106"/>
      <c r="D117" s="106"/>
      <c r="E117" s="199"/>
      <c r="F117" s="193"/>
      <c r="G117" s="95" t="s">
        <v>163</v>
      </c>
      <c r="H117" s="95" t="s">
        <v>163</v>
      </c>
      <c r="I117" s="95" t="s">
        <v>163</v>
      </c>
      <c r="J117" s="95" t="s">
        <v>163</v>
      </c>
    </row>
    <row r="118" spans="1:10" ht="20.100000000000001" customHeight="1">
      <c r="A118" s="92" t="s">
        <v>133</v>
      </c>
      <c r="B118" s="80">
        <v>6050</v>
      </c>
      <c r="C118" s="106"/>
      <c r="D118" s="106"/>
      <c r="E118" s="199"/>
      <c r="F118" s="199"/>
      <c r="G118" s="95" t="s">
        <v>163</v>
      </c>
      <c r="H118" s="95" t="s">
        <v>163</v>
      </c>
      <c r="I118" s="95" t="s">
        <v>163</v>
      </c>
      <c r="J118" s="95" t="s">
        <v>163</v>
      </c>
    </row>
    <row r="119" spans="1:10" s="5" customFormat="1" ht="20.100000000000001" customHeight="1">
      <c r="A119" s="93" t="s">
        <v>181</v>
      </c>
      <c r="B119" s="80">
        <v>6060</v>
      </c>
      <c r="C119" s="86">
        <f>SUM(C117:C118)</f>
        <v>0</v>
      </c>
      <c r="D119" s="86">
        <f>SUM(D117:D118)</f>
        <v>0</v>
      </c>
      <c r="E119" s="202">
        <f>SUM(E117:E118)</f>
        <v>0</v>
      </c>
      <c r="F119" s="194">
        <f>SUM(F117:F118)</f>
        <v>0</v>
      </c>
      <c r="G119" s="95" t="s">
        <v>163</v>
      </c>
      <c r="H119" s="95" t="s">
        <v>163</v>
      </c>
      <c r="I119" s="95" t="s">
        <v>163</v>
      </c>
      <c r="J119" s="95" t="s">
        <v>163</v>
      </c>
    </row>
    <row r="120" spans="1:10" ht="20.100000000000001" customHeight="1">
      <c r="A120" s="92" t="s">
        <v>332</v>
      </c>
      <c r="B120" s="80">
        <v>6070</v>
      </c>
      <c r="C120" s="106"/>
      <c r="D120" s="106"/>
      <c r="E120" s="199"/>
      <c r="F120" s="193"/>
      <c r="G120" s="81"/>
      <c r="H120" s="81"/>
      <c r="I120" s="81"/>
      <c r="J120" s="81"/>
    </row>
    <row r="121" spans="1:10" ht="20.100000000000001" customHeight="1">
      <c r="A121" s="92" t="s">
        <v>333</v>
      </c>
      <c r="B121" s="80">
        <v>6080</v>
      </c>
      <c r="C121" s="106"/>
      <c r="D121" s="106"/>
      <c r="E121" s="199"/>
      <c r="F121" s="193"/>
      <c r="G121" s="95" t="s">
        <v>163</v>
      </c>
      <c r="H121" s="95" t="s">
        <v>163</v>
      </c>
      <c r="I121" s="95" t="s">
        <v>163</v>
      </c>
      <c r="J121" s="95" t="s">
        <v>163</v>
      </c>
    </row>
    <row r="122" spans="1:10" ht="20.100000000000001" customHeight="1">
      <c r="A122" s="93" t="s">
        <v>391</v>
      </c>
      <c r="B122" s="80">
        <v>6090</v>
      </c>
      <c r="C122" s="106">
        <f>C116+C119</f>
        <v>0</v>
      </c>
      <c r="D122" s="106">
        <f>D116+D119</f>
        <v>0</v>
      </c>
      <c r="E122" s="199">
        <f>E116+E119</f>
        <v>0</v>
      </c>
      <c r="F122" s="193">
        <f>F116+F119</f>
        <v>10327.700000000001</v>
      </c>
      <c r="G122" s="95"/>
      <c r="H122" s="95"/>
      <c r="I122" s="95"/>
      <c r="J122" s="95"/>
    </row>
    <row r="123" spans="1:10" s="5" customFormat="1" ht="20.100000000000001" customHeight="1">
      <c r="A123" s="93" t="s">
        <v>392</v>
      </c>
      <c r="B123" s="80">
        <v>6099</v>
      </c>
      <c r="C123" s="106">
        <f>C115-C122</f>
        <v>0</v>
      </c>
      <c r="D123" s="106">
        <f>D115-D122</f>
        <v>0</v>
      </c>
      <c r="E123" s="106">
        <f>E115-E122</f>
        <v>0</v>
      </c>
      <c r="F123" s="106">
        <f>F115-F122</f>
        <v>0</v>
      </c>
      <c r="G123" s="95" t="s">
        <v>163</v>
      </c>
      <c r="H123" s="95" t="s">
        <v>163</v>
      </c>
      <c r="I123" s="95" t="s">
        <v>163</v>
      </c>
      <c r="J123" s="95" t="s">
        <v>163</v>
      </c>
    </row>
    <row r="124" spans="1:10" s="5" customFormat="1" ht="20.100000000000001" customHeight="1">
      <c r="A124" s="468" t="s">
        <v>245</v>
      </c>
      <c r="B124" s="468"/>
      <c r="C124" s="468"/>
      <c r="D124" s="468"/>
      <c r="E124" s="468"/>
      <c r="F124" s="468"/>
      <c r="G124" s="468"/>
      <c r="H124" s="468"/>
      <c r="I124" s="468"/>
      <c r="J124" s="468"/>
    </row>
    <row r="125" spans="1:10" s="5" customFormat="1" ht="20.100000000000001" customHeight="1">
      <c r="A125" s="94" t="s">
        <v>311</v>
      </c>
      <c r="B125" s="103" t="s">
        <v>246</v>
      </c>
      <c r="C125" s="83">
        <f t="shared" ref="C125:J125" si="7">SUM(C126:C128)</f>
        <v>0</v>
      </c>
      <c r="D125" s="83">
        <f t="shared" si="7"/>
        <v>0</v>
      </c>
      <c r="E125" s="83">
        <f t="shared" si="7"/>
        <v>0</v>
      </c>
      <c r="F125" s="83">
        <f t="shared" si="7"/>
        <v>0</v>
      </c>
      <c r="G125" s="83">
        <f t="shared" si="7"/>
        <v>0</v>
      </c>
      <c r="H125" s="83">
        <f t="shared" si="7"/>
        <v>0</v>
      </c>
      <c r="I125" s="83">
        <f t="shared" si="7"/>
        <v>0</v>
      </c>
      <c r="J125" s="83">
        <f t="shared" si="7"/>
        <v>0</v>
      </c>
    </row>
    <row r="126" spans="1:10" s="5" customFormat="1" ht="20.100000000000001" customHeight="1">
      <c r="A126" s="92" t="s">
        <v>334</v>
      </c>
      <c r="B126" s="104" t="s">
        <v>247</v>
      </c>
      <c r="C126" s="81"/>
      <c r="D126" s="81"/>
      <c r="E126" s="81"/>
      <c r="F126" s="81">
        <f>'6.1. Інша інфо_1'!G53</f>
        <v>0</v>
      </c>
      <c r="G126" s="81"/>
      <c r="H126" s="81"/>
      <c r="I126" s="81"/>
      <c r="J126" s="81"/>
    </row>
    <row r="127" spans="1:10" s="5" customFormat="1" ht="20.100000000000001" customHeight="1">
      <c r="A127" s="92" t="s">
        <v>335</v>
      </c>
      <c r="B127" s="104" t="s">
        <v>248</v>
      </c>
      <c r="C127" s="81"/>
      <c r="D127" s="81"/>
      <c r="E127" s="81"/>
      <c r="F127" s="81">
        <f>'6.1. Інша інфо_1'!G56</f>
        <v>0</v>
      </c>
      <c r="G127" s="81"/>
      <c r="H127" s="81"/>
      <c r="I127" s="81"/>
      <c r="J127" s="81"/>
    </row>
    <row r="128" spans="1:10" s="5" customFormat="1" ht="20.100000000000001" customHeight="1">
      <c r="A128" s="92" t="s">
        <v>336</v>
      </c>
      <c r="B128" s="104" t="s">
        <v>249</v>
      </c>
      <c r="C128" s="81"/>
      <c r="D128" s="81"/>
      <c r="E128" s="81"/>
      <c r="F128" s="81">
        <f>'6.1. Інша інфо_1'!G59</f>
        <v>0</v>
      </c>
      <c r="G128" s="81"/>
      <c r="H128" s="81"/>
      <c r="I128" s="81"/>
      <c r="J128" s="81"/>
    </row>
    <row r="129" spans="1:10" s="5" customFormat="1" ht="20.100000000000001" customHeight="1">
      <c r="A129" s="93" t="s">
        <v>312</v>
      </c>
      <c r="B129" s="104" t="s">
        <v>250</v>
      </c>
      <c r="C129" s="83">
        <f t="shared" ref="C129:J129" si="8">SUM(C130:C132)</f>
        <v>0</v>
      </c>
      <c r="D129" s="83">
        <f t="shared" si="8"/>
        <v>0</v>
      </c>
      <c r="E129" s="83">
        <f t="shared" si="8"/>
        <v>0</v>
      </c>
      <c r="F129" s="83">
        <f t="shared" si="8"/>
        <v>0</v>
      </c>
      <c r="G129" s="83">
        <f t="shared" si="8"/>
        <v>0</v>
      </c>
      <c r="H129" s="83">
        <f t="shared" si="8"/>
        <v>0</v>
      </c>
      <c r="I129" s="83">
        <f t="shared" si="8"/>
        <v>0</v>
      </c>
      <c r="J129" s="83">
        <f t="shared" si="8"/>
        <v>0</v>
      </c>
    </row>
    <row r="130" spans="1:10" s="5" customFormat="1" ht="20.100000000000001" customHeight="1">
      <c r="A130" s="92" t="s">
        <v>334</v>
      </c>
      <c r="B130" s="104" t="s">
        <v>251</v>
      </c>
      <c r="C130" s="81"/>
      <c r="D130" s="81"/>
      <c r="E130" s="81"/>
      <c r="F130" s="81">
        <f>'6.1. Інша інфо_1'!J53</f>
        <v>0</v>
      </c>
      <c r="G130" s="81"/>
      <c r="H130" s="81"/>
      <c r="I130" s="81"/>
      <c r="J130" s="81"/>
    </row>
    <row r="131" spans="1:10" s="5" customFormat="1" ht="19.5" customHeight="1">
      <c r="A131" s="92" t="s">
        <v>335</v>
      </c>
      <c r="B131" s="104" t="s">
        <v>252</v>
      </c>
      <c r="C131" s="81"/>
      <c r="D131" s="81"/>
      <c r="E131" s="81"/>
      <c r="F131" s="81">
        <f>'6.1. Інша інфо_1'!J56</f>
        <v>0</v>
      </c>
      <c r="G131" s="81"/>
      <c r="H131" s="81"/>
      <c r="I131" s="81"/>
      <c r="J131" s="81"/>
    </row>
    <row r="132" spans="1:10" ht="19.5" customHeight="1">
      <c r="A132" s="101" t="s">
        <v>336</v>
      </c>
      <c r="B132" s="105" t="s">
        <v>253</v>
      </c>
      <c r="C132" s="81"/>
      <c r="D132" s="81"/>
      <c r="E132" s="81"/>
      <c r="F132" s="81">
        <f>'6.1. Інша інфо_1'!J59</f>
        <v>0</v>
      </c>
      <c r="G132" s="81"/>
      <c r="H132" s="81"/>
      <c r="I132" s="81"/>
      <c r="J132" s="81"/>
    </row>
    <row r="133" spans="1:10">
      <c r="A133" s="468" t="s">
        <v>254</v>
      </c>
      <c r="B133" s="468"/>
      <c r="C133" s="468"/>
      <c r="D133" s="468"/>
      <c r="E133" s="468"/>
      <c r="F133" s="468"/>
      <c r="G133" s="468"/>
      <c r="H133" s="468"/>
      <c r="I133" s="468"/>
      <c r="J133" s="468"/>
    </row>
    <row r="134" spans="1:10" s="16" customFormat="1" ht="56.25">
      <c r="A134" s="93" t="s">
        <v>304</v>
      </c>
      <c r="B134" s="104" t="s">
        <v>255</v>
      </c>
      <c r="C134" s="83">
        <f>SUM(C135:C137)</f>
        <v>0</v>
      </c>
      <c r="D134" s="83">
        <f>SUM(D135:D137)</f>
        <v>0</v>
      </c>
      <c r="E134" s="83">
        <f>SUM(E135:E137)</f>
        <v>0</v>
      </c>
      <c r="F134" s="83">
        <f>SUM(F135:F137)</f>
        <v>592</v>
      </c>
      <c r="G134" s="95" t="s">
        <v>163</v>
      </c>
      <c r="H134" s="95" t="s">
        <v>163</v>
      </c>
      <c r="I134" s="95" t="s">
        <v>163</v>
      </c>
      <c r="J134" s="95" t="s">
        <v>163</v>
      </c>
    </row>
    <row r="135" spans="1:10" s="16" customFormat="1">
      <c r="A135" s="87" t="s">
        <v>177</v>
      </c>
      <c r="B135" s="104" t="s">
        <v>256</v>
      </c>
      <c r="C135" s="81">
        <f>'6.1. Інша інфо_1'!D13</f>
        <v>0</v>
      </c>
      <c r="D135" s="81">
        <f>'6.1. Інша інфо_1'!F13</f>
        <v>0</v>
      </c>
      <c r="E135" s="81">
        <f>'6.1. Інша інфо_1'!H13</f>
        <v>0</v>
      </c>
      <c r="F135" s="81">
        <f>'6.1. Інша інфо_1'!J13</f>
        <v>1</v>
      </c>
      <c r="G135" s="95" t="s">
        <v>163</v>
      </c>
      <c r="H135" s="95" t="s">
        <v>163</v>
      </c>
      <c r="I135" s="95" t="s">
        <v>163</v>
      </c>
      <c r="J135" s="95" t="s">
        <v>163</v>
      </c>
    </row>
    <row r="136" spans="1:10" s="16" customFormat="1">
      <c r="A136" s="87" t="s">
        <v>187</v>
      </c>
      <c r="B136" s="104" t="s">
        <v>257</v>
      </c>
      <c r="C136" s="81">
        <f>'6.1. Інша інфо_1'!D14</f>
        <v>0</v>
      </c>
      <c r="D136" s="81">
        <f>'6.1. Інша інфо_1'!F14</f>
        <v>0</v>
      </c>
      <c r="E136" s="81">
        <f>'6.1. Інша інфо_1'!H14</f>
        <v>0</v>
      </c>
      <c r="F136" s="81">
        <f>'6.1. Інша інфо_1'!J14</f>
        <v>70</v>
      </c>
      <c r="G136" s="95" t="s">
        <v>163</v>
      </c>
      <c r="H136" s="95" t="s">
        <v>163</v>
      </c>
      <c r="I136" s="95" t="s">
        <v>163</v>
      </c>
      <c r="J136" s="95" t="s">
        <v>163</v>
      </c>
    </row>
    <row r="137" spans="1:10" s="16" customFormat="1">
      <c r="A137" s="87" t="s">
        <v>178</v>
      </c>
      <c r="B137" s="104" t="s">
        <v>258</v>
      </c>
      <c r="C137" s="81">
        <f>'6.1. Інша інфо_1'!D15</f>
        <v>0</v>
      </c>
      <c r="D137" s="81">
        <f>'6.1. Інша інфо_1'!F15</f>
        <v>0</v>
      </c>
      <c r="E137" s="81">
        <f>'6.1. Інша інфо_1'!H15</f>
        <v>0</v>
      </c>
      <c r="F137" s="81">
        <f>'6.1. Інша інфо_1'!J15</f>
        <v>521</v>
      </c>
      <c r="G137" s="95" t="s">
        <v>163</v>
      </c>
      <c r="H137" s="95" t="s">
        <v>163</v>
      </c>
      <c r="I137" s="95" t="s">
        <v>163</v>
      </c>
      <c r="J137" s="95" t="s">
        <v>163</v>
      </c>
    </row>
    <row r="138" spans="1:10" s="16" customFormat="1">
      <c r="A138" s="93" t="s">
        <v>5</v>
      </c>
      <c r="B138" s="104" t="s">
        <v>259</v>
      </c>
      <c r="C138" s="86">
        <f>'I. Фін результат'!C95</f>
        <v>0</v>
      </c>
      <c r="D138" s="86">
        <f>'I. Фін результат'!D95</f>
        <v>0</v>
      </c>
      <c r="E138" s="86">
        <f>'I. Фін результат'!E95</f>
        <v>0</v>
      </c>
      <c r="F138" s="86">
        <f>'I. Фін результат'!F95</f>
        <v>35219.699999999997</v>
      </c>
      <c r="G138" s="95" t="s">
        <v>163</v>
      </c>
      <c r="H138" s="95" t="s">
        <v>163</v>
      </c>
      <c r="I138" s="95" t="s">
        <v>163</v>
      </c>
      <c r="J138" s="95" t="s">
        <v>163</v>
      </c>
    </row>
    <row r="139" spans="1:10" s="16" customFormat="1" ht="37.5">
      <c r="A139" s="93" t="s">
        <v>337</v>
      </c>
      <c r="B139" s="104" t="s">
        <v>260</v>
      </c>
      <c r="C139" s="190" t="e">
        <f>'6.1. Інша інфо_1'!D24</f>
        <v>#DIV/0!</v>
      </c>
      <c r="D139" s="221"/>
      <c r="E139" s="320" t="e">
        <f>'6.1. Інша інфо_1'!H24</f>
        <v>#DIV/0!</v>
      </c>
      <c r="F139" s="317">
        <f>'6.1. Інша інфо_1'!J24</f>
        <v>4957.72804054054</v>
      </c>
      <c r="G139" s="95" t="s">
        <v>163</v>
      </c>
      <c r="H139" s="95" t="s">
        <v>163</v>
      </c>
      <c r="I139" s="95" t="s">
        <v>163</v>
      </c>
      <c r="J139" s="95" t="s">
        <v>163</v>
      </c>
    </row>
    <row r="140" spans="1:10" s="16" customFormat="1">
      <c r="A140" s="87" t="s">
        <v>177</v>
      </c>
      <c r="B140" s="104" t="s">
        <v>261</v>
      </c>
      <c r="C140" s="192" t="e">
        <f>'6.1. Інша інфо_1'!D25</f>
        <v>#DIV/0!</v>
      </c>
      <c r="D140" s="222"/>
      <c r="E140" s="321" t="e">
        <f>'6.1. Інша інфо_1'!H25</f>
        <v>#DIV/0!</v>
      </c>
      <c r="F140" s="316">
        <f>'6.1. Інша інфо_1'!J25</f>
        <v>31875</v>
      </c>
      <c r="G140" s="95" t="s">
        <v>163</v>
      </c>
      <c r="H140" s="95" t="s">
        <v>163</v>
      </c>
      <c r="I140" s="95" t="s">
        <v>163</v>
      </c>
      <c r="J140" s="95" t="s">
        <v>163</v>
      </c>
    </row>
    <row r="141" spans="1:10" s="16" customFormat="1">
      <c r="A141" s="87" t="s">
        <v>187</v>
      </c>
      <c r="B141" s="104" t="s">
        <v>262</v>
      </c>
      <c r="C141" s="192" t="e">
        <f>'6.1. Інша інфо_1'!D26</f>
        <v>#DIV/0!</v>
      </c>
      <c r="D141" s="222"/>
      <c r="E141" s="321" t="e">
        <f>'6.1. Інша інфо_1'!H26</f>
        <v>#DIV/0!</v>
      </c>
      <c r="F141" s="316">
        <f>'6.1. Інша інфо_1'!J26</f>
        <v>4108.2142857142853</v>
      </c>
      <c r="G141" s="95" t="s">
        <v>163</v>
      </c>
      <c r="H141" s="95" t="s">
        <v>163</v>
      </c>
      <c r="I141" s="95" t="s">
        <v>163</v>
      </c>
      <c r="J141" s="95" t="s">
        <v>163</v>
      </c>
    </row>
    <row r="142" spans="1:10" s="16" customFormat="1">
      <c r="A142" s="87" t="s">
        <v>178</v>
      </c>
      <c r="B142" s="104" t="s">
        <v>263</v>
      </c>
      <c r="C142" s="192" t="e">
        <f>'6.1. Інша інфо_1'!D27</f>
        <v>#DIV/0!</v>
      </c>
      <c r="D142" s="222"/>
      <c r="E142" s="321" t="e">
        <f>'6.1. Інша інфо_1'!H27</f>
        <v>#DIV/0!</v>
      </c>
      <c r="F142" s="316">
        <f>'6.1. Інша інфо_1'!J27</f>
        <v>5019.7376839411381</v>
      </c>
      <c r="G142" s="95" t="s">
        <v>163</v>
      </c>
      <c r="H142" s="95" t="s">
        <v>163</v>
      </c>
      <c r="I142" s="95" t="s">
        <v>163</v>
      </c>
      <c r="J142" s="95" t="s">
        <v>163</v>
      </c>
    </row>
    <row r="143" spans="1:10" s="195" customFormat="1">
      <c r="A143" s="196"/>
      <c r="B143" s="205"/>
      <c r="C143" s="206"/>
      <c r="D143" s="206"/>
      <c r="E143" s="206"/>
      <c r="F143" s="207"/>
      <c r="G143" s="197"/>
      <c r="H143" s="197"/>
      <c r="I143" s="197"/>
      <c r="J143" s="197"/>
    </row>
    <row r="144" spans="1:10" s="195" customFormat="1">
      <c r="A144" s="196"/>
      <c r="B144" s="205"/>
      <c r="C144" s="206"/>
      <c r="D144" s="206"/>
      <c r="E144" s="206"/>
      <c r="F144" s="207"/>
      <c r="G144" s="197"/>
      <c r="H144" s="197"/>
      <c r="I144" s="197"/>
      <c r="J144" s="197"/>
    </row>
    <row r="145" spans="1:10" s="16" customFormat="1">
      <c r="A145" s="45"/>
      <c r="C145" s="38"/>
      <c r="D145" s="46"/>
      <c r="E145" s="46"/>
      <c r="F145" s="46"/>
      <c r="G145" s="20"/>
      <c r="H145" s="20"/>
      <c r="I145" s="20"/>
      <c r="J145" s="20"/>
    </row>
    <row r="146" spans="1:10" s="16" customFormat="1">
      <c r="A146" s="185" t="s">
        <v>676</v>
      </c>
      <c r="B146" s="1"/>
      <c r="C146" s="469" t="s">
        <v>96</v>
      </c>
      <c r="D146" s="470"/>
      <c r="E146" s="470"/>
      <c r="F146" s="470"/>
      <c r="G146" s="11"/>
      <c r="H146" s="466" t="s">
        <v>617</v>
      </c>
      <c r="I146" s="466"/>
      <c r="J146" s="466"/>
    </row>
    <row r="147" spans="1:10" s="16" customFormat="1">
      <c r="A147" s="49" t="s">
        <v>192</v>
      </c>
      <c r="B147" s="3"/>
      <c r="C147" s="464" t="s">
        <v>74</v>
      </c>
      <c r="D147" s="464"/>
      <c r="E147" s="464"/>
      <c r="F147" s="464"/>
      <c r="G147" s="17"/>
      <c r="H147" s="465" t="s">
        <v>92</v>
      </c>
      <c r="I147" s="465"/>
      <c r="J147" s="465"/>
    </row>
    <row r="148" spans="1:10" s="16" customFormat="1">
      <c r="A148" s="34"/>
      <c r="F148" s="3"/>
      <c r="G148" s="3"/>
      <c r="H148" s="3"/>
      <c r="I148" s="3"/>
      <c r="J148" s="3"/>
    </row>
    <row r="149" spans="1:10" s="16" customFormat="1">
      <c r="A149" s="34"/>
      <c r="F149" s="3"/>
      <c r="G149" s="3"/>
      <c r="H149" s="3"/>
      <c r="I149" s="3"/>
      <c r="J149" s="3"/>
    </row>
    <row r="150" spans="1:10" s="16" customFormat="1">
      <c r="A150" s="34"/>
      <c r="F150" s="3"/>
      <c r="G150" s="3"/>
      <c r="H150" s="3"/>
      <c r="I150" s="3"/>
      <c r="J150" s="3"/>
    </row>
    <row r="151" spans="1:10" s="16" customFormat="1">
      <c r="A151" s="34"/>
      <c r="F151" s="3"/>
      <c r="G151" s="3"/>
      <c r="H151" s="3"/>
      <c r="I151" s="3"/>
      <c r="J151" s="3"/>
    </row>
    <row r="152" spans="1:10" s="16" customFormat="1">
      <c r="A152" s="34"/>
      <c r="F152" s="3"/>
      <c r="G152" s="3"/>
      <c r="H152" s="3"/>
      <c r="I152" s="3"/>
      <c r="J152" s="3"/>
    </row>
    <row r="153" spans="1:10" s="16" customFormat="1">
      <c r="A153" s="34"/>
      <c r="F153" s="3"/>
      <c r="G153" s="3"/>
      <c r="H153" s="3"/>
      <c r="I153" s="3"/>
      <c r="J153" s="3"/>
    </row>
    <row r="154" spans="1:10" s="16" customFormat="1">
      <c r="A154" s="34"/>
      <c r="F154" s="3"/>
      <c r="G154" s="3"/>
      <c r="H154" s="3"/>
      <c r="I154" s="3"/>
      <c r="J154" s="3"/>
    </row>
    <row r="155" spans="1:10" s="16" customFormat="1">
      <c r="A155" s="34"/>
      <c r="F155" s="3"/>
      <c r="G155" s="3"/>
      <c r="H155" s="3"/>
      <c r="I155" s="3"/>
      <c r="J155" s="3"/>
    </row>
    <row r="156" spans="1:10" s="16" customFormat="1">
      <c r="A156" s="34"/>
      <c r="F156" s="3"/>
      <c r="G156" s="3"/>
      <c r="H156" s="3"/>
      <c r="I156" s="3"/>
      <c r="J156" s="3"/>
    </row>
    <row r="157" spans="1:10" s="16" customFormat="1">
      <c r="A157" s="34"/>
      <c r="F157" s="3"/>
      <c r="G157" s="3"/>
      <c r="H157" s="3"/>
      <c r="I157" s="3"/>
      <c r="J157" s="3"/>
    </row>
    <row r="158" spans="1:10" s="16" customFormat="1">
      <c r="A158" s="34"/>
      <c r="F158" s="3"/>
      <c r="G158" s="3"/>
      <c r="H158" s="3"/>
      <c r="I158" s="3"/>
      <c r="J158" s="3"/>
    </row>
    <row r="159" spans="1:10" s="16" customFormat="1">
      <c r="A159" s="34"/>
      <c r="F159" s="3"/>
      <c r="G159" s="3"/>
      <c r="H159" s="3"/>
      <c r="I159" s="3"/>
      <c r="J159" s="3"/>
    </row>
    <row r="160" spans="1:10" s="16" customFormat="1">
      <c r="A160" s="34"/>
      <c r="F160" s="3"/>
      <c r="G160" s="3"/>
      <c r="H160" s="3"/>
      <c r="I160" s="3"/>
      <c r="J160" s="3"/>
    </row>
    <row r="161" spans="1:10" s="16" customFormat="1">
      <c r="A161" s="34"/>
      <c r="F161" s="3"/>
      <c r="G161" s="3"/>
      <c r="H161" s="3"/>
      <c r="I161" s="3"/>
      <c r="J161" s="3"/>
    </row>
    <row r="162" spans="1:10" s="16" customFormat="1">
      <c r="A162" s="34"/>
      <c r="F162" s="3"/>
      <c r="G162" s="3"/>
      <c r="H162" s="3"/>
      <c r="I162" s="3"/>
      <c r="J162" s="3"/>
    </row>
    <row r="163" spans="1:10" s="16" customFormat="1">
      <c r="A163" s="34"/>
      <c r="F163" s="3"/>
      <c r="G163" s="3"/>
      <c r="H163" s="3"/>
      <c r="I163" s="3"/>
      <c r="J163" s="3"/>
    </row>
    <row r="164" spans="1:10" s="16" customFormat="1">
      <c r="A164" s="34"/>
      <c r="F164" s="3"/>
      <c r="G164" s="3"/>
      <c r="H164" s="3"/>
      <c r="I164" s="3"/>
      <c r="J164" s="3"/>
    </row>
    <row r="165" spans="1:10" s="16" customFormat="1">
      <c r="A165" s="34"/>
      <c r="F165" s="3"/>
      <c r="G165" s="3"/>
      <c r="H165" s="3"/>
      <c r="I165" s="3"/>
      <c r="J165" s="3"/>
    </row>
    <row r="166" spans="1:10" s="16" customFormat="1">
      <c r="A166" s="34"/>
      <c r="F166" s="3"/>
      <c r="G166" s="3"/>
      <c r="H166" s="3"/>
      <c r="I166" s="3"/>
      <c r="J166" s="3"/>
    </row>
    <row r="167" spans="1:10" s="16" customFormat="1">
      <c r="A167" s="34"/>
      <c r="F167" s="3"/>
      <c r="G167" s="3"/>
      <c r="H167" s="3"/>
      <c r="I167" s="3"/>
      <c r="J167" s="3"/>
    </row>
    <row r="168" spans="1:10" s="16" customFormat="1">
      <c r="A168" s="34"/>
      <c r="F168" s="3"/>
      <c r="G168" s="3"/>
      <c r="H168" s="3"/>
      <c r="I168" s="3"/>
      <c r="J168" s="3"/>
    </row>
    <row r="169" spans="1:10" s="16" customFormat="1">
      <c r="A169" s="34"/>
      <c r="F169" s="3"/>
      <c r="G169" s="3"/>
      <c r="H169" s="3"/>
      <c r="I169" s="3"/>
      <c r="J169" s="3"/>
    </row>
    <row r="170" spans="1:10" s="16" customFormat="1">
      <c r="A170" s="34"/>
      <c r="F170" s="3"/>
      <c r="G170" s="3"/>
      <c r="H170" s="3"/>
      <c r="I170" s="3"/>
      <c r="J170" s="3"/>
    </row>
    <row r="171" spans="1:10" s="16" customFormat="1">
      <c r="A171" s="34"/>
      <c r="F171" s="3"/>
      <c r="G171" s="3"/>
      <c r="H171" s="3"/>
      <c r="I171" s="3"/>
      <c r="J171" s="3"/>
    </row>
    <row r="172" spans="1:10" s="16" customFormat="1">
      <c r="A172" s="34"/>
      <c r="F172" s="3"/>
      <c r="G172" s="3"/>
      <c r="H172" s="3"/>
      <c r="I172" s="3"/>
      <c r="J172" s="3"/>
    </row>
    <row r="173" spans="1:10" s="16" customFormat="1">
      <c r="A173" s="34"/>
      <c r="F173" s="3"/>
      <c r="G173" s="3"/>
      <c r="H173" s="3"/>
      <c r="I173" s="3"/>
      <c r="J173" s="3"/>
    </row>
    <row r="174" spans="1:10" s="16" customFormat="1">
      <c r="A174" s="34"/>
      <c r="F174" s="3"/>
      <c r="G174" s="3"/>
      <c r="H174" s="3"/>
      <c r="I174" s="3"/>
      <c r="J174" s="3"/>
    </row>
    <row r="175" spans="1:10" s="16" customFormat="1">
      <c r="A175" s="34"/>
      <c r="F175" s="3"/>
      <c r="G175" s="3"/>
      <c r="H175" s="3"/>
      <c r="I175" s="3"/>
      <c r="J175" s="3"/>
    </row>
    <row r="176" spans="1:10" s="16" customFormat="1">
      <c r="A176" s="34"/>
      <c r="F176" s="3"/>
      <c r="G176" s="3"/>
      <c r="H176" s="3"/>
      <c r="I176" s="3"/>
      <c r="J176" s="3"/>
    </row>
    <row r="177" spans="1:10" s="16" customFormat="1">
      <c r="A177" s="34"/>
      <c r="F177" s="3"/>
      <c r="G177" s="3"/>
      <c r="H177" s="3"/>
      <c r="I177" s="3"/>
      <c r="J177" s="3"/>
    </row>
    <row r="178" spans="1:10" s="16" customFormat="1">
      <c r="A178" s="34"/>
      <c r="F178" s="3"/>
      <c r="G178" s="3"/>
      <c r="H178" s="3"/>
      <c r="I178" s="3"/>
      <c r="J178" s="3"/>
    </row>
    <row r="179" spans="1:10" s="16" customFormat="1">
      <c r="A179" s="34"/>
      <c r="F179" s="3"/>
      <c r="G179" s="3"/>
      <c r="H179" s="3"/>
      <c r="I179" s="3"/>
      <c r="J179" s="3"/>
    </row>
    <row r="180" spans="1:10" s="16" customFormat="1">
      <c r="A180" s="34"/>
      <c r="F180" s="3"/>
      <c r="G180" s="3"/>
      <c r="H180" s="3"/>
      <c r="I180" s="3"/>
      <c r="J180" s="3"/>
    </row>
    <row r="181" spans="1:10" s="16" customFormat="1">
      <c r="A181" s="34"/>
      <c r="F181" s="3"/>
      <c r="G181" s="3"/>
      <c r="H181" s="3"/>
      <c r="I181" s="3"/>
      <c r="J181" s="3"/>
    </row>
    <row r="182" spans="1:10" s="16" customFormat="1">
      <c r="A182" s="34"/>
      <c r="F182" s="3"/>
      <c r="G182" s="3"/>
      <c r="H182" s="3"/>
      <c r="I182" s="3"/>
      <c r="J182" s="3"/>
    </row>
    <row r="183" spans="1:10" s="16" customFormat="1">
      <c r="A183" s="34"/>
      <c r="F183" s="3"/>
      <c r="G183" s="3"/>
      <c r="H183" s="3"/>
      <c r="I183" s="3"/>
      <c r="J183" s="3"/>
    </row>
    <row r="184" spans="1:10" s="16" customFormat="1">
      <c r="A184" s="34"/>
      <c r="F184" s="3"/>
      <c r="G184" s="3"/>
      <c r="H184" s="3"/>
      <c r="I184" s="3"/>
      <c r="J184" s="3"/>
    </row>
    <row r="185" spans="1:10" s="16" customFormat="1">
      <c r="A185" s="34"/>
      <c r="F185" s="3"/>
      <c r="G185" s="3"/>
      <c r="H185" s="3"/>
      <c r="I185" s="3"/>
      <c r="J185" s="3"/>
    </row>
    <row r="186" spans="1:10" s="16" customFormat="1">
      <c r="A186" s="34"/>
      <c r="F186" s="3"/>
      <c r="G186" s="3"/>
      <c r="H186" s="3"/>
      <c r="I186" s="3"/>
      <c r="J186" s="3"/>
    </row>
    <row r="187" spans="1:10" s="16" customFormat="1">
      <c r="A187" s="34"/>
      <c r="F187" s="3"/>
      <c r="G187" s="3"/>
      <c r="H187" s="3"/>
      <c r="I187" s="3"/>
      <c r="J187" s="3"/>
    </row>
    <row r="188" spans="1:10" s="16" customFormat="1">
      <c r="A188" s="34"/>
      <c r="F188" s="3"/>
      <c r="G188" s="3"/>
      <c r="H188" s="3"/>
      <c r="I188" s="3"/>
      <c r="J188" s="3"/>
    </row>
    <row r="189" spans="1:10" s="16" customFormat="1">
      <c r="A189" s="34"/>
      <c r="F189" s="3"/>
      <c r="G189" s="3"/>
      <c r="H189" s="3"/>
      <c r="I189" s="3"/>
      <c r="J189" s="3"/>
    </row>
    <row r="190" spans="1:10" s="16" customFormat="1">
      <c r="A190" s="34"/>
      <c r="F190" s="3"/>
      <c r="G190" s="3"/>
      <c r="H190" s="3"/>
      <c r="I190" s="3"/>
      <c r="J190" s="3"/>
    </row>
    <row r="191" spans="1:10" s="16" customFormat="1">
      <c r="A191" s="34"/>
      <c r="F191" s="3"/>
      <c r="G191" s="3"/>
      <c r="H191" s="3"/>
      <c r="I191" s="3"/>
      <c r="J191" s="3"/>
    </row>
    <row r="192" spans="1:10" s="16" customFormat="1">
      <c r="A192" s="34"/>
      <c r="F192" s="3"/>
      <c r="G192" s="3"/>
      <c r="H192" s="3"/>
      <c r="I192" s="3"/>
      <c r="J192" s="3"/>
    </row>
    <row r="193" spans="1:10" s="16" customFormat="1">
      <c r="A193" s="34"/>
      <c r="F193" s="3"/>
      <c r="G193" s="3"/>
      <c r="H193" s="3"/>
      <c r="I193" s="3"/>
      <c r="J193" s="3"/>
    </row>
    <row r="194" spans="1:10" s="16" customFormat="1">
      <c r="A194" s="34"/>
      <c r="F194" s="3"/>
      <c r="G194" s="3"/>
      <c r="H194" s="3"/>
      <c r="I194" s="3"/>
      <c r="J194" s="3"/>
    </row>
    <row r="195" spans="1:10" s="16" customFormat="1">
      <c r="A195" s="34"/>
      <c r="F195" s="3"/>
      <c r="G195" s="3"/>
      <c r="H195" s="3"/>
      <c r="I195" s="3"/>
      <c r="J195" s="3"/>
    </row>
    <row r="196" spans="1:10" s="16" customFormat="1">
      <c r="A196" s="34"/>
      <c r="F196" s="3"/>
      <c r="G196" s="3"/>
      <c r="H196" s="3"/>
      <c r="I196" s="3"/>
      <c r="J196" s="3"/>
    </row>
    <row r="197" spans="1:10" s="16" customFormat="1">
      <c r="A197" s="34"/>
      <c r="F197" s="3"/>
      <c r="G197" s="3"/>
      <c r="H197" s="3"/>
      <c r="I197" s="3"/>
      <c r="J197" s="3"/>
    </row>
    <row r="198" spans="1:10" s="16" customFormat="1">
      <c r="A198" s="34"/>
      <c r="F198" s="3"/>
      <c r="G198" s="3"/>
      <c r="H198" s="3"/>
      <c r="I198" s="3"/>
      <c r="J198" s="3"/>
    </row>
    <row r="199" spans="1:10" s="16" customFormat="1">
      <c r="A199" s="34"/>
      <c r="F199" s="3"/>
      <c r="G199" s="3"/>
      <c r="H199" s="3"/>
      <c r="I199" s="3"/>
      <c r="J199" s="3"/>
    </row>
    <row r="200" spans="1:10" s="16" customFormat="1">
      <c r="A200" s="34"/>
      <c r="F200" s="3"/>
      <c r="G200" s="3"/>
      <c r="H200" s="3"/>
      <c r="I200" s="3"/>
      <c r="J200" s="3"/>
    </row>
    <row r="201" spans="1:10" s="16" customFormat="1">
      <c r="A201" s="34"/>
      <c r="F201" s="3"/>
      <c r="G201" s="3"/>
      <c r="H201" s="3"/>
      <c r="I201" s="3"/>
      <c r="J201" s="3"/>
    </row>
    <row r="202" spans="1:10" s="16" customFormat="1">
      <c r="A202" s="34"/>
      <c r="F202" s="3"/>
      <c r="G202" s="3"/>
      <c r="H202" s="3"/>
      <c r="I202" s="3"/>
      <c r="J202" s="3"/>
    </row>
    <row r="203" spans="1:10" s="16" customFormat="1">
      <c r="A203" s="34"/>
      <c r="F203" s="3"/>
      <c r="G203" s="3"/>
      <c r="H203" s="3"/>
      <c r="I203" s="3"/>
      <c r="J203" s="3"/>
    </row>
    <row r="204" spans="1:10" s="16" customFormat="1">
      <c r="A204" s="34"/>
      <c r="F204" s="3"/>
      <c r="G204" s="3"/>
      <c r="H204" s="3"/>
      <c r="I204" s="3"/>
      <c r="J204" s="3"/>
    </row>
    <row r="205" spans="1:10" s="16" customFormat="1">
      <c r="A205" s="34"/>
      <c r="F205" s="3"/>
      <c r="G205" s="3"/>
      <c r="H205" s="3"/>
      <c r="I205" s="3"/>
      <c r="J205" s="3"/>
    </row>
    <row r="206" spans="1:10" s="16" customFormat="1">
      <c r="A206" s="34"/>
      <c r="F206" s="3"/>
      <c r="G206" s="3"/>
      <c r="H206" s="3"/>
      <c r="I206" s="3"/>
      <c r="J206" s="3"/>
    </row>
    <row r="207" spans="1:10" s="16" customFormat="1">
      <c r="A207" s="34"/>
      <c r="F207" s="3"/>
      <c r="G207" s="3"/>
      <c r="H207" s="3"/>
      <c r="I207" s="3"/>
      <c r="J207" s="3"/>
    </row>
    <row r="208" spans="1:10" s="16" customFormat="1">
      <c r="A208" s="34"/>
      <c r="F208" s="3"/>
      <c r="G208" s="3"/>
      <c r="H208" s="3"/>
      <c r="I208" s="3"/>
      <c r="J208" s="3"/>
    </row>
    <row r="209" spans="1:10" s="16" customFormat="1">
      <c r="A209" s="34"/>
      <c r="F209" s="3"/>
      <c r="G209" s="3"/>
      <c r="H209" s="3"/>
      <c r="I209" s="3"/>
      <c r="J209" s="3"/>
    </row>
    <row r="210" spans="1:10" s="16" customFormat="1">
      <c r="A210" s="34"/>
      <c r="F210" s="3"/>
      <c r="G210" s="3"/>
      <c r="H210" s="3"/>
      <c r="I210" s="3"/>
      <c r="J210" s="3"/>
    </row>
    <row r="211" spans="1:10" s="16" customFormat="1">
      <c r="A211" s="34"/>
      <c r="F211" s="3"/>
      <c r="G211" s="3"/>
      <c r="H211" s="3"/>
      <c r="I211" s="3"/>
      <c r="J211" s="3"/>
    </row>
    <row r="212" spans="1:10" s="16" customFormat="1">
      <c r="A212" s="34"/>
      <c r="F212" s="3"/>
      <c r="G212" s="3"/>
      <c r="H212" s="3"/>
      <c r="I212" s="3"/>
      <c r="J212" s="3"/>
    </row>
    <row r="213" spans="1:10" s="16" customFormat="1">
      <c r="A213" s="34"/>
      <c r="F213" s="3"/>
      <c r="G213" s="3"/>
      <c r="H213" s="3"/>
      <c r="I213" s="3"/>
      <c r="J213" s="3"/>
    </row>
    <row r="214" spans="1:10" s="16" customFormat="1">
      <c r="A214" s="34"/>
      <c r="F214" s="3"/>
      <c r="G214" s="3"/>
      <c r="H214" s="3"/>
      <c r="I214" s="3"/>
      <c r="J214" s="3"/>
    </row>
    <row r="215" spans="1:10" s="16" customFormat="1">
      <c r="A215" s="34"/>
      <c r="F215" s="3"/>
      <c r="G215" s="3"/>
      <c r="H215" s="3"/>
      <c r="I215" s="3"/>
      <c r="J215" s="3"/>
    </row>
    <row r="216" spans="1:10" s="16" customFormat="1">
      <c r="A216" s="34"/>
      <c r="F216" s="3"/>
      <c r="G216" s="3"/>
      <c r="H216" s="3"/>
      <c r="I216" s="3"/>
      <c r="J216" s="3"/>
    </row>
    <row r="217" spans="1:10" s="16" customFormat="1">
      <c r="A217" s="34"/>
      <c r="F217" s="3"/>
      <c r="G217" s="3"/>
      <c r="H217" s="3"/>
      <c r="I217" s="3"/>
      <c r="J217" s="3"/>
    </row>
    <row r="218" spans="1:10" s="16" customFormat="1">
      <c r="A218" s="34"/>
      <c r="F218" s="3"/>
      <c r="G218" s="3"/>
      <c r="H218" s="3"/>
      <c r="I218" s="3"/>
      <c r="J218" s="3"/>
    </row>
    <row r="219" spans="1:10" s="16" customFormat="1">
      <c r="A219" s="34"/>
      <c r="F219" s="3"/>
      <c r="G219" s="3"/>
      <c r="H219" s="3"/>
      <c r="I219" s="3"/>
      <c r="J219" s="3"/>
    </row>
    <row r="220" spans="1:10" s="16" customFormat="1">
      <c r="A220" s="34"/>
      <c r="F220" s="3"/>
      <c r="G220" s="3"/>
      <c r="H220" s="3"/>
      <c r="I220" s="3"/>
      <c r="J220" s="3"/>
    </row>
    <row r="221" spans="1:10" s="16" customFormat="1">
      <c r="A221" s="34"/>
      <c r="F221" s="3"/>
      <c r="G221" s="3"/>
      <c r="H221" s="3"/>
      <c r="I221" s="3"/>
      <c r="J221" s="3"/>
    </row>
    <row r="222" spans="1:10" s="16" customFormat="1">
      <c r="A222" s="34"/>
      <c r="F222" s="3"/>
      <c r="G222" s="3"/>
      <c r="H222" s="3"/>
      <c r="I222" s="3"/>
      <c r="J222" s="3"/>
    </row>
    <row r="223" spans="1:10" s="16" customFormat="1">
      <c r="A223" s="34"/>
      <c r="F223" s="3"/>
      <c r="G223" s="3"/>
      <c r="H223" s="3"/>
      <c r="I223" s="3"/>
      <c r="J223" s="3"/>
    </row>
    <row r="224" spans="1:10" s="16" customFormat="1">
      <c r="A224" s="34"/>
      <c r="F224" s="3"/>
      <c r="G224" s="3"/>
      <c r="H224" s="3"/>
      <c r="I224" s="3"/>
      <c r="J224" s="3"/>
    </row>
    <row r="225" spans="1:10" s="16" customFormat="1">
      <c r="A225" s="34"/>
      <c r="F225" s="3"/>
      <c r="G225" s="3"/>
      <c r="H225" s="3"/>
      <c r="I225" s="3"/>
      <c r="J225" s="3"/>
    </row>
    <row r="226" spans="1:10" s="16" customFormat="1">
      <c r="A226" s="34"/>
      <c r="F226" s="3"/>
      <c r="G226" s="3"/>
      <c r="H226" s="3"/>
      <c r="I226" s="3"/>
      <c r="J226" s="3"/>
    </row>
    <row r="227" spans="1:10" s="16" customFormat="1">
      <c r="A227" s="34"/>
      <c r="F227" s="3"/>
      <c r="G227" s="3"/>
      <c r="H227" s="3"/>
      <c r="I227" s="3"/>
      <c r="J227" s="3"/>
    </row>
    <row r="228" spans="1:10" s="16" customFormat="1">
      <c r="A228" s="34"/>
      <c r="F228" s="3"/>
      <c r="G228" s="3"/>
      <c r="H228" s="3"/>
      <c r="I228" s="3"/>
      <c r="J228" s="3"/>
    </row>
    <row r="229" spans="1:10" s="16" customFormat="1">
      <c r="A229" s="34"/>
      <c r="F229" s="3"/>
      <c r="G229" s="3"/>
      <c r="H229" s="3"/>
      <c r="I229" s="3"/>
      <c r="J229" s="3"/>
    </row>
    <row r="230" spans="1:10" s="16" customFormat="1">
      <c r="A230" s="34"/>
      <c r="F230" s="3"/>
      <c r="G230" s="3"/>
      <c r="H230" s="3"/>
      <c r="I230" s="3"/>
      <c r="J230" s="3"/>
    </row>
    <row r="231" spans="1:10" s="16" customFormat="1">
      <c r="A231" s="34"/>
      <c r="F231" s="3"/>
      <c r="G231" s="3"/>
      <c r="H231" s="3"/>
      <c r="I231" s="3"/>
      <c r="J231" s="3"/>
    </row>
    <row r="232" spans="1:10" s="16" customFormat="1">
      <c r="A232" s="34"/>
      <c r="F232" s="3"/>
      <c r="G232" s="3"/>
      <c r="H232" s="3"/>
      <c r="I232" s="3"/>
      <c r="J232" s="3"/>
    </row>
    <row r="233" spans="1:10" s="16" customFormat="1">
      <c r="A233" s="34"/>
      <c r="F233" s="3"/>
      <c r="G233" s="3"/>
      <c r="H233" s="3"/>
      <c r="I233" s="3"/>
      <c r="J233" s="3"/>
    </row>
    <row r="234" spans="1:10" s="16" customFormat="1">
      <c r="A234" s="34"/>
      <c r="F234" s="3"/>
      <c r="G234" s="3"/>
      <c r="H234" s="3"/>
      <c r="I234" s="3"/>
      <c r="J234" s="3"/>
    </row>
    <row r="235" spans="1:10" s="16" customFormat="1">
      <c r="A235" s="34"/>
      <c r="F235" s="3"/>
      <c r="G235" s="3"/>
      <c r="H235" s="3"/>
      <c r="I235" s="3"/>
      <c r="J235" s="3"/>
    </row>
    <row r="236" spans="1:10" s="16" customFormat="1">
      <c r="A236" s="34"/>
      <c r="F236" s="3"/>
      <c r="G236" s="3"/>
      <c r="H236" s="3"/>
      <c r="I236" s="3"/>
      <c r="J236" s="3"/>
    </row>
    <row r="237" spans="1:10" s="16" customFormat="1">
      <c r="A237" s="34"/>
      <c r="F237" s="3"/>
      <c r="G237" s="3"/>
      <c r="H237" s="3"/>
      <c r="I237" s="3"/>
      <c r="J237" s="3"/>
    </row>
    <row r="238" spans="1:10" s="16" customFormat="1">
      <c r="A238" s="34"/>
      <c r="F238" s="3"/>
      <c r="G238" s="3"/>
      <c r="H238" s="3"/>
      <c r="I238" s="3"/>
      <c r="J238" s="3"/>
    </row>
    <row r="239" spans="1:10" s="16" customFormat="1">
      <c r="A239" s="34"/>
      <c r="F239" s="3"/>
      <c r="G239" s="3"/>
      <c r="H239" s="3"/>
      <c r="I239" s="3"/>
      <c r="J239" s="3"/>
    </row>
    <row r="240" spans="1:10" s="16" customFormat="1">
      <c r="A240" s="34"/>
      <c r="F240" s="3"/>
      <c r="G240" s="3"/>
      <c r="H240" s="3"/>
      <c r="I240" s="3"/>
      <c r="J240" s="3"/>
    </row>
    <row r="241" spans="1:10" s="16" customFormat="1">
      <c r="A241" s="34"/>
      <c r="F241" s="3"/>
      <c r="G241" s="3"/>
      <c r="H241" s="3"/>
      <c r="I241" s="3"/>
      <c r="J241" s="3"/>
    </row>
    <row r="242" spans="1:10" s="16" customFormat="1">
      <c r="A242" s="34"/>
      <c r="F242" s="3"/>
      <c r="G242" s="3"/>
      <c r="H242" s="3"/>
      <c r="I242" s="3"/>
      <c r="J242" s="3"/>
    </row>
    <row r="243" spans="1:10" s="16" customFormat="1">
      <c r="A243" s="34"/>
      <c r="F243" s="3"/>
      <c r="G243" s="3"/>
      <c r="H243" s="3"/>
      <c r="I243" s="3"/>
      <c r="J243" s="3"/>
    </row>
    <row r="244" spans="1:10" s="16" customFormat="1">
      <c r="A244" s="34"/>
      <c r="F244" s="3"/>
      <c r="G244" s="3"/>
      <c r="H244" s="3"/>
      <c r="I244" s="3"/>
      <c r="J244" s="3"/>
    </row>
    <row r="245" spans="1:10" s="16" customFormat="1">
      <c r="A245" s="34"/>
      <c r="F245" s="3"/>
      <c r="G245" s="3"/>
      <c r="H245" s="3"/>
      <c r="I245" s="3"/>
      <c r="J245" s="3"/>
    </row>
    <row r="246" spans="1:10" s="16" customFormat="1">
      <c r="A246" s="34"/>
      <c r="F246" s="3"/>
      <c r="G246" s="3"/>
      <c r="H246" s="3"/>
      <c r="I246" s="3"/>
      <c r="J246" s="3"/>
    </row>
    <row r="247" spans="1:10" s="16" customFormat="1">
      <c r="A247" s="34"/>
      <c r="F247" s="3"/>
      <c r="G247" s="3"/>
      <c r="H247" s="3"/>
      <c r="I247" s="3"/>
      <c r="J247" s="3"/>
    </row>
    <row r="248" spans="1:10" s="16" customFormat="1">
      <c r="A248" s="34"/>
      <c r="F248" s="3"/>
      <c r="G248" s="3"/>
      <c r="H248" s="3"/>
      <c r="I248" s="3"/>
      <c r="J248" s="3"/>
    </row>
    <row r="249" spans="1:10" s="16" customFormat="1">
      <c r="A249" s="34"/>
      <c r="F249" s="3"/>
      <c r="G249" s="3"/>
      <c r="H249" s="3"/>
      <c r="I249" s="3"/>
      <c r="J249" s="3"/>
    </row>
    <row r="250" spans="1:10" s="16" customFormat="1">
      <c r="A250" s="34"/>
      <c r="F250" s="3"/>
      <c r="G250" s="3"/>
      <c r="H250" s="3"/>
      <c r="I250" s="3"/>
      <c r="J250" s="3"/>
    </row>
    <row r="251" spans="1:10" s="16" customFormat="1">
      <c r="A251" s="34"/>
      <c r="F251" s="3"/>
      <c r="G251" s="3"/>
      <c r="H251" s="3"/>
      <c r="I251" s="3"/>
      <c r="J251" s="3"/>
    </row>
    <row r="252" spans="1:10" s="16" customFormat="1">
      <c r="A252" s="34"/>
      <c r="F252" s="3"/>
      <c r="G252" s="3"/>
      <c r="H252" s="3"/>
      <c r="I252" s="3"/>
      <c r="J252" s="3"/>
    </row>
    <row r="253" spans="1:10" s="16" customFormat="1">
      <c r="A253" s="34"/>
      <c r="F253" s="3"/>
      <c r="G253" s="3"/>
      <c r="H253" s="3"/>
      <c r="I253" s="3"/>
      <c r="J253" s="3"/>
    </row>
    <row r="254" spans="1:10" s="16" customFormat="1">
      <c r="A254" s="34"/>
      <c r="F254" s="3"/>
      <c r="G254" s="3"/>
      <c r="H254" s="3"/>
      <c r="I254" s="3"/>
      <c r="J254" s="3"/>
    </row>
    <row r="255" spans="1:10" s="16" customFormat="1">
      <c r="A255" s="34"/>
      <c r="F255" s="3"/>
      <c r="G255" s="3"/>
      <c r="H255" s="3"/>
      <c r="I255" s="3"/>
      <c r="J255" s="3"/>
    </row>
    <row r="256" spans="1:10" s="16" customFormat="1">
      <c r="A256" s="34"/>
      <c r="F256" s="3"/>
      <c r="G256" s="3"/>
      <c r="H256" s="3"/>
      <c r="I256" s="3"/>
      <c r="J256" s="3"/>
    </row>
    <row r="257" spans="1:10" s="16" customFormat="1">
      <c r="A257" s="34"/>
      <c r="F257" s="3"/>
      <c r="G257" s="3"/>
      <c r="H257" s="3"/>
      <c r="I257" s="3"/>
      <c r="J257" s="3"/>
    </row>
    <row r="258" spans="1:10" s="16" customFormat="1">
      <c r="A258" s="34"/>
      <c r="F258" s="3"/>
      <c r="G258" s="3"/>
      <c r="H258" s="3"/>
      <c r="I258" s="3"/>
      <c r="J258" s="3"/>
    </row>
    <row r="259" spans="1:10" s="16" customFormat="1">
      <c r="A259" s="34"/>
      <c r="F259" s="3"/>
      <c r="G259" s="3"/>
      <c r="H259" s="3"/>
      <c r="I259" s="3"/>
      <c r="J259" s="3"/>
    </row>
    <row r="260" spans="1:10" s="16" customFormat="1">
      <c r="A260" s="34"/>
      <c r="F260" s="3"/>
      <c r="G260" s="3"/>
      <c r="H260" s="3"/>
      <c r="I260" s="3"/>
      <c r="J260" s="3"/>
    </row>
    <row r="261" spans="1:10" s="16" customFormat="1">
      <c r="A261" s="34"/>
      <c r="F261" s="3"/>
      <c r="G261" s="3"/>
      <c r="H261" s="3"/>
      <c r="I261" s="3"/>
      <c r="J261" s="3"/>
    </row>
    <row r="262" spans="1:10" s="16" customFormat="1">
      <c r="A262" s="34"/>
      <c r="F262" s="3"/>
      <c r="G262" s="3"/>
      <c r="H262" s="3"/>
      <c r="I262" s="3"/>
      <c r="J262" s="3"/>
    </row>
    <row r="263" spans="1:10" s="16" customFormat="1">
      <c r="A263" s="34"/>
      <c r="F263" s="3"/>
      <c r="G263" s="3"/>
      <c r="H263" s="3"/>
      <c r="I263" s="3"/>
      <c r="J263" s="3"/>
    </row>
    <row r="264" spans="1:10" s="16" customFormat="1">
      <c r="A264" s="34"/>
      <c r="F264" s="3"/>
      <c r="G264" s="3"/>
      <c r="H264" s="3"/>
      <c r="I264" s="3"/>
      <c r="J264" s="3"/>
    </row>
    <row r="265" spans="1:10" s="16" customFormat="1">
      <c r="A265" s="34"/>
      <c r="F265" s="3"/>
      <c r="G265" s="3"/>
      <c r="H265" s="3"/>
      <c r="I265" s="3"/>
      <c r="J265" s="3"/>
    </row>
    <row r="266" spans="1:10" s="16" customFormat="1">
      <c r="A266" s="34"/>
      <c r="F266" s="3"/>
      <c r="G266" s="3"/>
      <c r="H266" s="3"/>
      <c r="I266" s="3"/>
      <c r="J266" s="3"/>
    </row>
    <row r="267" spans="1:10" s="16" customFormat="1">
      <c r="A267" s="34"/>
      <c r="F267" s="3"/>
      <c r="G267" s="3"/>
      <c r="H267" s="3"/>
      <c r="I267" s="3"/>
      <c r="J267" s="3"/>
    </row>
    <row r="268" spans="1:10" s="16" customFormat="1">
      <c r="A268" s="34"/>
      <c r="F268" s="3"/>
      <c r="G268" s="3"/>
      <c r="H268" s="3"/>
      <c r="I268" s="3"/>
      <c r="J268" s="3"/>
    </row>
    <row r="269" spans="1:10" s="16" customFormat="1">
      <c r="A269" s="34"/>
      <c r="F269" s="3"/>
      <c r="G269" s="3"/>
      <c r="H269" s="3"/>
      <c r="I269" s="3"/>
      <c r="J269" s="3"/>
    </row>
    <row r="270" spans="1:10" s="16" customFormat="1">
      <c r="A270" s="34"/>
      <c r="F270" s="3"/>
      <c r="G270" s="3"/>
      <c r="H270" s="3"/>
      <c r="I270" s="3"/>
      <c r="J270" s="3"/>
    </row>
    <row r="271" spans="1:10" s="16" customFormat="1">
      <c r="A271" s="34"/>
      <c r="F271" s="3"/>
      <c r="G271" s="3"/>
      <c r="H271" s="3"/>
      <c r="I271" s="3"/>
      <c r="J271" s="3"/>
    </row>
    <row r="272" spans="1:10" s="16" customFormat="1">
      <c r="A272" s="34"/>
      <c r="F272" s="3"/>
      <c r="G272" s="3"/>
      <c r="H272" s="3"/>
      <c r="I272" s="3"/>
      <c r="J272" s="3"/>
    </row>
    <row r="273" spans="1:10" s="16" customFormat="1">
      <c r="A273" s="34"/>
      <c r="F273" s="3"/>
      <c r="G273" s="3"/>
      <c r="H273" s="3"/>
      <c r="I273" s="3"/>
      <c r="J273" s="3"/>
    </row>
    <row r="274" spans="1:10" s="16" customFormat="1">
      <c r="A274" s="34"/>
      <c r="F274" s="3"/>
      <c r="G274" s="3"/>
      <c r="H274" s="3"/>
      <c r="I274" s="3"/>
      <c r="J274" s="3"/>
    </row>
    <row r="275" spans="1:10" s="16" customFormat="1">
      <c r="A275" s="34"/>
      <c r="F275" s="3"/>
      <c r="G275" s="3"/>
      <c r="H275" s="3"/>
      <c r="I275" s="3"/>
      <c r="J275" s="3"/>
    </row>
    <row r="276" spans="1:10" s="16" customFormat="1">
      <c r="A276" s="34"/>
      <c r="F276" s="3"/>
      <c r="G276" s="3"/>
      <c r="H276" s="3"/>
      <c r="I276" s="3"/>
      <c r="J276" s="3"/>
    </row>
    <row r="277" spans="1:10" s="16" customFormat="1">
      <c r="A277" s="34"/>
      <c r="F277" s="3"/>
      <c r="G277" s="3"/>
      <c r="H277" s="3"/>
      <c r="I277" s="3"/>
      <c r="J277" s="3"/>
    </row>
    <row r="278" spans="1:10" s="16" customFormat="1">
      <c r="A278" s="34"/>
      <c r="F278" s="3"/>
      <c r="G278" s="3"/>
      <c r="H278" s="3"/>
      <c r="I278" s="3"/>
      <c r="J278" s="3"/>
    </row>
    <row r="279" spans="1:10" s="16" customFormat="1">
      <c r="A279" s="34"/>
      <c r="F279" s="3"/>
      <c r="G279" s="3"/>
      <c r="H279" s="3"/>
      <c r="I279" s="3"/>
      <c r="J279" s="3"/>
    </row>
    <row r="280" spans="1:10" s="16" customFormat="1">
      <c r="A280" s="34"/>
      <c r="F280" s="3"/>
      <c r="G280" s="3"/>
      <c r="H280" s="3"/>
      <c r="I280" s="3"/>
      <c r="J280" s="3"/>
    </row>
    <row r="281" spans="1:10" s="16" customFormat="1">
      <c r="A281" s="34"/>
      <c r="F281" s="3"/>
      <c r="G281" s="3"/>
      <c r="H281" s="3"/>
      <c r="I281" s="3"/>
      <c r="J281" s="3"/>
    </row>
    <row r="282" spans="1:10" s="16" customFormat="1">
      <c r="A282" s="34"/>
      <c r="F282" s="3"/>
      <c r="G282" s="3"/>
      <c r="H282" s="3"/>
      <c r="I282" s="3"/>
      <c r="J282" s="3"/>
    </row>
    <row r="283" spans="1:10" s="16" customFormat="1">
      <c r="A283" s="34"/>
      <c r="F283" s="3"/>
      <c r="G283" s="3"/>
      <c r="H283" s="3"/>
      <c r="I283" s="3"/>
      <c r="J283" s="3"/>
    </row>
    <row r="284" spans="1:10" s="16" customFormat="1">
      <c r="A284" s="34"/>
      <c r="F284" s="3"/>
      <c r="G284" s="3"/>
      <c r="H284" s="3"/>
      <c r="I284" s="3"/>
      <c r="J284" s="3"/>
    </row>
    <row r="285" spans="1:10" s="16" customFormat="1">
      <c r="A285" s="34"/>
      <c r="F285" s="3"/>
      <c r="G285" s="3"/>
      <c r="H285" s="3"/>
      <c r="I285" s="3"/>
      <c r="J285" s="3"/>
    </row>
    <row r="286" spans="1:10" s="16" customFormat="1">
      <c r="A286" s="34"/>
      <c r="F286" s="3"/>
      <c r="G286" s="3"/>
      <c r="H286" s="3"/>
      <c r="I286" s="3"/>
      <c r="J286" s="3"/>
    </row>
    <row r="287" spans="1:10" s="16" customFormat="1">
      <c r="A287" s="34"/>
      <c r="F287" s="3"/>
      <c r="G287" s="3"/>
      <c r="H287" s="3"/>
      <c r="I287" s="3"/>
      <c r="J287" s="3"/>
    </row>
    <row r="288" spans="1:10" s="16" customFormat="1">
      <c r="A288" s="34"/>
      <c r="F288" s="3"/>
      <c r="G288" s="3"/>
      <c r="H288" s="3"/>
      <c r="I288" s="3"/>
      <c r="J288" s="3"/>
    </row>
    <row r="289" spans="1:10" s="16" customFormat="1">
      <c r="A289" s="34"/>
      <c r="F289" s="3"/>
      <c r="G289" s="3"/>
      <c r="H289" s="3"/>
      <c r="I289" s="3"/>
      <c r="J289" s="3"/>
    </row>
    <row r="290" spans="1:10" s="16" customFormat="1">
      <c r="A290" s="34"/>
      <c r="F290" s="3"/>
      <c r="G290" s="3"/>
      <c r="H290" s="3"/>
      <c r="I290" s="3"/>
      <c r="J290" s="3"/>
    </row>
    <row r="291" spans="1:10" s="16" customFormat="1">
      <c r="A291" s="34"/>
      <c r="F291" s="3"/>
      <c r="G291" s="3"/>
      <c r="H291" s="3"/>
      <c r="I291" s="3"/>
      <c r="J291" s="3"/>
    </row>
    <row r="292" spans="1:10" s="16" customFormat="1">
      <c r="A292" s="34"/>
      <c r="F292" s="3"/>
      <c r="G292" s="3"/>
      <c r="H292" s="3"/>
      <c r="I292" s="3"/>
      <c r="J292" s="3"/>
    </row>
    <row r="293" spans="1:10" s="16" customFormat="1">
      <c r="A293" s="34"/>
      <c r="F293" s="3"/>
      <c r="G293" s="3"/>
      <c r="H293" s="3"/>
      <c r="I293" s="3"/>
      <c r="J293" s="3"/>
    </row>
    <row r="294" spans="1:10" s="16" customFormat="1">
      <c r="A294" s="34"/>
      <c r="F294" s="3"/>
      <c r="G294" s="3"/>
      <c r="H294" s="3"/>
      <c r="I294" s="3"/>
      <c r="J294" s="3"/>
    </row>
    <row r="295" spans="1:10" s="16" customFormat="1">
      <c r="A295" s="34"/>
      <c r="F295" s="3"/>
      <c r="G295" s="3"/>
      <c r="H295" s="3"/>
      <c r="I295" s="3"/>
      <c r="J295" s="3"/>
    </row>
    <row r="296" spans="1:10" s="16" customFormat="1">
      <c r="A296" s="34"/>
      <c r="F296" s="3"/>
      <c r="G296" s="3"/>
      <c r="H296" s="3"/>
      <c r="I296" s="3"/>
      <c r="J296" s="3"/>
    </row>
    <row r="297" spans="1:10" s="16" customFormat="1">
      <c r="A297" s="34"/>
      <c r="F297" s="3"/>
      <c r="G297" s="3"/>
      <c r="H297" s="3"/>
      <c r="I297" s="3"/>
      <c r="J297" s="3"/>
    </row>
    <row r="298" spans="1:10" s="16" customFormat="1">
      <c r="A298" s="34"/>
      <c r="F298" s="3"/>
      <c r="G298" s="3"/>
      <c r="H298" s="3"/>
      <c r="I298" s="3"/>
      <c r="J298" s="3"/>
    </row>
  </sheetData>
  <mergeCells count="63">
    <mergeCell ref="B34:F34"/>
    <mergeCell ref="B36:F36"/>
    <mergeCell ref="G39:I39"/>
    <mergeCell ref="B37:F37"/>
    <mergeCell ref="B38:F38"/>
    <mergeCell ref="B35:F35"/>
    <mergeCell ref="B39:F39"/>
    <mergeCell ref="G38:I38"/>
    <mergeCell ref="A1:B6"/>
    <mergeCell ref="B33:F33"/>
    <mergeCell ref="B31:F31"/>
    <mergeCell ref="A15:B15"/>
    <mergeCell ref="A11:B11"/>
    <mergeCell ref="A21:B21"/>
    <mergeCell ref="B32:G32"/>
    <mergeCell ref="G12:J12"/>
    <mergeCell ref="G14:J14"/>
    <mergeCell ref="G10:J10"/>
    <mergeCell ref="A14:B14"/>
    <mergeCell ref="G24:J24"/>
    <mergeCell ref="G15:J15"/>
    <mergeCell ref="A16:B16"/>
    <mergeCell ref="A23:B23"/>
    <mergeCell ref="A48:A49"/>
    <mergeCell ref="B42:F42"/>
    <mergeCell ref="B43:F43"/>
    <mergeCell ref="B40:F40"/>
    <mergeCell ref="G1:J1"/>
    <mergeCell ref="G9:J9"/>
    <mergeCell ref="G8:J8"/>
    <mergeCell ref="G3:J3"/>
    <mergeCell ref="G5:H5"/>
    <mergeCell ref="G2:J2"/>
    <mergeCell ref="G4:J4"/>
    <mergeCell ref="G23:J23"/>
    <mergeCell ref="G18:J18"/>
    <mergeCell ref="G22:J22"/>
    <mergeCell ref="A18:B18"/>
    <mergeCell ref="G25:J25"/>
    <mergeCell ref="A100:J100"/>
    <mergeCell ref="A92:J92"/>
    <mergeCell ref="A76:J76"/>
    <mergeCell ref="A51:J51"/>
    <mergeCell ref="B41:F41"/>
    <mergeCell ref="A46:J46"/>
    <mergeCell ref="A44:J44"/>
    <mergeCell ref="I52:J52"/>
    <mergeCell ref="G48:J48"/>
    <mergeCell ref="E48:E49"/>
    <mergeCell ref="C48:C49"/>
    <mergeCell ref="B48:B49"/>
    <mergeCell ref="F48:F49"/>
    <mergeCell ref="D48:D49"/>
    <mergeCell ref="I50:J50"/>
    <mergeCell ref="I49:J49"/>
    <mergeCell ref="C147:F147"/>
    <mergeCell ref="H147:J147"/>
    <mergeCell ref="H146:J146"/>
    <mergeCell ref="A102:J102"/>
    <mergeCell ref="A108:J108"/>
    <mergeCell ref="A124:J124"/>
    <mergeCell ref="A133:J133"/>
    <mergeCell ref="C146:F146"/>
  </mergeCells>
  <phoneticPr fontId="3" type="noConversion"/>
  <pageMargins left="0.98425196850393704" right="0.39370078740157483" top="0.78740157480314965" bottom="0.78740157480314965" header="0.39370078740157483" footer="0.19685039370078741"/>
  <pageSetup paperSize="9" scale="56" orientation="landscape" verticalDpi="300" r:id="rId1"/>
  <headerFooter alignWithMargins="0"/>
  <rowBreaks count="1" manualBreakCount="1">
    <brk id="43" max="9" man="1"/>
  </rowBreaks>
  <ignoredErrors>
    <ignoredError sqref="B125:B132 B134:B142" numberStoredAsText="1"/>
    <ignoredError sqref="C119" formulaRange="1"/>
    <ignoredError sqref="F103:J103 E104:F104 E107:F107 C142 C103 C104 C60:F61 G61:J61 C106:C107 C139 F139 C140 F140 C141 F141 F142 E103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6"/>
  <sheetViews>
    <sheetView view="pageBreakPreview" topLeftCell="A55" zoomScale="75" zoomScaleNormal="75" zoomScaleSheetLayoutView="75" workbookViewId="0">
      <selection activeCell="V26" sqref="V26"/>
    </sheetView>
  </sheetViews>
  <sheetFormatPr defaultColWidth="9.140625" defaultRowHeight="18.75"/>
  <cols>
    <col min="1" max="1" width="44.85546875" style="2" customWidth="1"/>
    <col min="2" max="2" width="13.5703125" style="15" customWidth="1"/>
    <col min="3" max="3" width="12.7109375" style="2" customWidth="1"/>
    <col min="4" max="4" width="16.140625" style="2" customWidth="1"/>
    <col min="5" max="5" width="11.28515625" style="2" customWidth="1"/>
    <col min="6" max="6" width="16.5703125" style="2" customWidth="1"/>
    <col min="7" max="7" width="13.42578125" style="2" customWidth="1"/>
    <col min="8" max="8" width="16.5703125" style="2" customWidth="1"/>
    <col min="9" max="9" width="10.42578125" style="2" customWidth="1"/>
    <col min="10" max="10" width="16.42578125" style="2" customWidth="1"/>
    <col min="11" max="11" width="14.140625" style="2" customWidth="1"/>
    <col min="12" max="12" width="16.85546875" style="2" customWidth="1"/>
    <col min="13" max="13" width="12.85546875" style="2" customWidth="1"/>
    <col min="14" max="15" width="16.7109375" style="2" customWidth="1"/>
    <col min="16" max="16384" width="9.140625" style="2"/>
  </cols>
  <sheetData>
    <row r="1" spans="1:15">
      <c r="O1" s="77" t="s">
        <v>400</v>
      </c>
    </row>
    <row r="2" spans="1:15">
      <c r="A2" s="521" t="s">
        <v>108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5">
      <c r="A3" s="521" t="s">
        <v>522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</row>
    <row r="4" spans="1:15">
      <c r="A4" s="466" t="s">
        <v>747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</row>
    <row r="5" spans="1:15" ht="20.100000000000001" customHeight="1">
      <c r="A5" s="615"/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</row>
    <row r="6" spans="1:15" ht="21.95" customHeight="1">
      <c r="A6" s="616" t="s">
        <v>298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</row>
    <row r="7" spans="1:15" ht="10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6.5" customHeight="1">
      <c r="A8" s="617" t="s">
        <v>213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</row>
    <row r="9" spans="1:15" ht="10.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s="3" customFormat="1" ht="58.5" customHeight="1">
      <c r="A10" s="587" t="s">
        <v>179</v>
      </c>
      <c r="B10" s="587"/>
      <c r="C10" s="587"/>
      <c r="D10" s="584"/>
      <c r="E10" s="584"/>
      <c r="F10" s="584"/>
      <c r="G10" s="584"/>
      <c r="H10" s="584"/>
      <c r="I10" s="584"/>
      <c r="J10" s="584" t="s">
        <v>512</v>
      </c>
      <c r="K10" s="584"/>
      <c r="L10" s="584" t="s">
        <v>436</v>
      </c>
      <c r="M10" s="584"/>
      <c r="N10" s="584" t="s">
        <v>186</v>
      </c>
      <c r="O10" s="584"/>
    </row>
    <row r="11" spans="1:15" s="3" customFormat="1" ht="18" customHeight="1">
      <c r="A11" s="587">
        <v>1</v>
      </c>
      <c r="B11" s="587"/>
      <c r="C11" s="587"/>
      <c r="D11" s="584">
        <v>2</v>
      </c>
      <c r="E11" s="584"/>
      <c r="F11" s="584">
        <v>3</v>
      </c>
      <c r="G11" s="584"/>
      <c r="H11" s="584">
        <v>4</v>
      </c>
      <c r="I11" s="584"/>
      <c r="J11" s="584">
        <v>5</v>
      </c>
      <c r="K11" s="584"/>
      <c r="L11" s="584">
        <v>6</v>
      </c>
      <c r="M11" s="584"/>
      <c r="N11" s="584">
        <v>7</v>
      </c>
      <c r="O11" s="584"/>
    </row>
    <row r="12" spans="1:15" s="3" customFormat="1" ht="60" customHeight="1">
      <c r="A12" s="578" t="s">
        <v>304</v>
      </c>
      <c r="B12" s="579"/>
      <c r="C12" s="580"/>
      <c r="D12" s="588">
        <f>SUM(D13:D15)</f>
        <v>0</v>
      </c>
      <c r="E12" s="589"/>
      <c r="F12" s="588">
        <f>SUM(F13:F15)</f>
        <v>0</v>
      </c>
      <c r="G12" s="589"/>
      <c r="H12" s="588">
        <f>SUM(H13:H15)</f>
        <v>0</v>
      </c>
      <c r="I12" s="589"/>
      <c r="J12" s="588">
        <f>SUM(J13:J15)</f>
        <v>592</v>
      </c>
      <c r="K12" s="589"/>
      <c r="L12" s="605" t="e">
        <f>J12/H12*100</f>
        <v>#DIV/0!</v>
      </c>
      <c r="M12" s="606"/>
      <c r="N12" s="605" t="e">
        <f>J12/D12*100</f>
        <v>#DIV/0!</v>
      </c>
      <c r="O12" s="606"/>
    </row>
    <row r="13" spans="1:15" s="3" customFormat="1" ht="19.5" customHeight="1">
      <c r="A13" s="581" t="s">
        <v>177</v>
      </c>
      <c r="B13" s="582"/>
      <c r="C13" s="583"/>
      <c r="D13" s="574"/>
      <c r="E13" s="576"/>
      <c r="F13" s="574"/>
      <c r="G13" s="576"/>
      <c r="H13" s="574"/>
      <c r="I13" s="576"/>
      <c r="J13" s="574">
        <v>1</v>
      </c>
      <c r="K13" s="576"/>
      <c r="L13" s="603" t="e">
        <f t="shared" ref="L13:L27" si="0">J13/H13*100</f>
        <v>#DIV/0!</v>
      </c>
      <c r="M13" s="604"/>
      <c r="N13" s="603" t="e">
        <f t="shared" ref="N13:N27" si="1">J13/D13*100</f>
        <v>#DIV/0!</v>
      </c>
      <c r="O13" s="604"/>
    </row>
    <row r="14" spans="1:15" s="3" customFormat="1" ht="20.100000000000001" customHeight="1">
      <c r="A14" s="581" t="s">
        <v>187</v>
      </c>
      <c r="B14" s="582"/>
      <c r="C14" s="583"/>
      <c r="D14" s="574"/>
      <c r="E14" s="576"/>
      <c r="F14" s="574"/>
      <c r="G14" s="576"/>
      <c r="H14" s="574"/>
      <c r="I14" s="576"/>
      <c r="J14" s="574">
        <v>70</v>
      </c>
      <c r="K14" s="576"/>
      <c r="L14" s="603" t="e">
        <f t="shared" si="0"/>
        <v>#DIV/0!</v>
      </c>
      <c r="M14" s="604"/>
      <c r="N14" s="603" t="e">
        <f t="shared" si="1"/>
        <v>#DIV/0!</v>
      </c>
      <c r="O14" s="604"/>
    </row>
    <row r="15" spans="1:15" s="3" customFormat="1" ht="20.100000000000001" customHeight="1">
      <c r="A15" s="581" t="s">
        <v>178</v>
      </c>
      <c r="B15" s="582"/>
      <c r="C15" s="583"/>
      <c r="D15" s="574"/>
      <c r="E15" s="576"/>
      <c r="F15" s="574"/>
      <c r="G15" s="576"/>
      <c r="H15" s="574"/>
      <c r="I15" s="576"/>
      <c r="J15" s="574">
        <v>521</v>
      </c>
      <c r="K15" s="576"/>
      <c r="L15" s="603" t="e">
        <f t="shared" si="0"/>
        <v>#DIV/0!</v>
      </c>
      <c r="M15" s="604"/>
      <c r="N15" s="603" t="e">
        <f t="shared" si="1"/>
        <v>#DIV/0!</v>
      </c>
      <c r="O15" s="604"/>
    </row>
    <row r="16" spans="1:15" s="3" customFormat="1">
      <c r="A16" s="578" t="s">
        <v>353</v>
      </c>
      <c r="B16" s="579"/>
      <c r="C16" s="580"/>
      <c r="D16" s="588">
        <f>SUM(D17:D19)</f>
        <v>0</v>
      </c>
      <c r="E16" s="589"/>
      <c r="F16" s="612">
        <f>SUM(F17:F19)</f>
        <v>0</v>
      </c>
      <c r="G16" s="613"/>
      <c r="H16" s="612">
        <f>SUM(H17:H19)</f>
        <v>0</v>
      </c>
      <c r="I16" s="613"/>
      <c r="J16" s="612">
        <f>SUM(J17:J19)</f>
        <v>35216.800000000003</v>
      </c>
      <c r="K16" s="613"/>
      <c r="L16" s="605" t="e">
        <f t="shared" si="0"/>
        <v>#DIV/0!</v>
      </c>
      <c r="M16" s="606"/>
      <c r="N16" s="605" t="e">
        <f t="shared" si="1"/>
        <v>#DIV/0!</v>
      </c>
      <c r="O16" s="606"/>
    </row>
    <row r="17" spans="1:15" s="3" customFormat="1" ht="20.100000000000001" customHeight="1">
      <c r="A17" s="581" t="s">
        <v>177</v>
      </c>
      <c r="B17" s="582"/>
      <c r="C17" s="583"/>
      <c r="D17" s="574"/>
      <c r="E17" s="576"/>
      <c r="F17" s="607"/>
      <c r="G17" s="608"/>
      <c r="H17" s="607"/>
      <c r="I17" s="608"/>
      <c r="J17" s="607">
        <v>382.5</v>
      </c>
      <c r="K17" s="608"/>
      <c r="L17" s="603" t="e">
        <f t="shared" si="0"/>
        <v>#DIV/0!</v>
      </c>
      <c r="M17" s="604"/>
      <c r="N17" s="603" t="e">
        <f t="shared" si="1"/>
        <v>#DIV/0!</v>
      </c>
      <c r="O17" s="604"/>
    </row>
    <row r="18" spans="1:15" s="3" customFormat="1" ht="20.100000000000001" customHeight="1">
      <c r="A18" s="581" t="s">
        <v>187</v>
      </c>
      <c r="B18" s="582"/>
      <c r="C18" s="583"/>
      <c r="D18" s="574"/>
      <c r="E18" s="576"/>
      <c r="F18" s="607"/>
      <c r="G18" s="608"/>
      <c r="H18" s="607"/>
      <c r="I18" s="608"/>
      <c r="J18" s="607">
        <v>3450.9</v>
      </c>
      <c r="K18" s="608"/>
      <c r="L18" s="603" t="e">
        <f t="shared" si="0"/>
        <v>#DIV/0!</v>
      </c>
      <c r="M18" s="604"/>
      <c r="N18" s="603" t="e">
        <f t="shared" si="1"/>
        <v>#DIV/0!</v>
      </c>
      <c r="O18" s="604"/>
    </row>
    <row r="19" spans="1:15" s="3" customFormat="1" ht="20.100000000000001" customHeight="1">
      <c r="A19" s="581" t="s">
        <v>178</v>
      </c>
      <c r="B19" s="582"/>
      <c r="C19" s="583"/>
      <c r="D19" s="574"/>
      <c r="E19" s="576"/>
      <c r="F19" s="607"/>
      <c r="G19" s="608"/>
      <c r="H19" s="607"/>
      <c r="I19" s="608"/>
      <c r="J19" s="607">
        <v>31383.4</v>
      </c>
      <c r="K19" s="608"/>
      <c r="L19" s="603" t="e">
        <f t="shared" si="0"/>
        <v>#DIV/0!</v>
      </c>
      <c r="M19" s="604"/>
      <c r="N19" s="603" t="e">
        <f t="shared" si="1"/>
        <v>#DIV/0!</v>
      </c>
      <c r="O19" s="604"/>
    </row>
    <row r="20" spans="1:15" s="3" customFormat="1" ht="20.100000000000001" customHeight="1">
      <c r="A20" s="578" t="s">
        <v>354</v>
      </c>
      <c r="B20" s="579"/>
      <c r="C20" s="580"/>
      <c r="D20" s="588">
        <f>'I. Фін результат'!C95</f>
        <v>0</v>
      </c>
      <c r="E20" s="589"/>
      <c r="F20" s="612">
        <f>'I. Фін результат'!D95</f>
        <v>0</v>
      </c>
      <c r="G20" s="613"/>
      <c r="H20" s="612">
        <f>'I. Фін результат'!E95</f>
        <v>0</v>
      </c>
      <c r="I20" s="613"/>
      <c r="J20" s="612">
        <f>'I. Фін результат'!F95</f>
        <v>35219.699999999997</v>
      </c>
      <c r="K20" s="613"/>
      <c r="L20" s="605" t="e">
        <f t="shared" si="0"/>
        <v>#DIV/0!</v>
      </c>
      <c r="M20" s="606"/>
      <c r="N20" s="605" t="e">
        <f t="shared" si="1"/>
        <v>#DIV/0!</v>
      </c>
      <c r="O20" s="606"/>
    </row>
    <row r="21" spans="1:15" s="3" customFormat="1" ht="20.100000000000001" customHeight="1">
      <c r="A21" s="581" t="s">
        <v>177</v>
      </c>
      <c r="B21" s="582"/>
      <c r="C21" s="583"/>
      <c r="D21" s="574"/>
      <c r="E21" s="576"/>
      <c r="F21" s="607"/>
      <c r="G21" s="608"/>
      <c r="H21" s="607"/>
      <c r="I21" s="608"/>
      <c r="J21" s="607">
        <v>382.5</v>
      </c>
      <c r="K21" s="608"/>
      <c r="L21" s="603" t="e">
        <f t="shared" si="0"/>
        <v>#DIV/0!</v>
      </c>
      <c r="M21" s="604"/>
      <c r="N21" s="603" t="e">
        <f t="shared" si="1"/>
        <v>#DIV/0!</v>
      </c>
      <c r="O21" s="604"/>
    </row>
    <row r="22" spans="1:15" s="3" customFormat="1" ht="20.100000000000001" customHeight="1">
      <c r="A22" s="581" t="s">
        <v>187</v>
      </c>
      <c r="B22" s="582"/>
      <c r="C22" s="583"/>
      <c r="D22" s="574"/>
      <c r="E22" s="576"/>
      <c r="F22" s="607"/>
      <c r="G22" s="608"/>
      <c r="H22" s="607"/>
      <c r="I22" s="608"/>
      <c r="J22" s="607">
        <v>3450.9</v>
      </c>
      <c r="K22" s="608"/>
      <c r="L22" s="603" t="e">
        <f t="shared" si="0"/>
        <v>#DIV/0!</v>
      </c>
      <c r="M22" s="604"/>
      <c r="N22" s="603" t="e">
        <f t="shared" si="1"/>
        <v>#DIV/0!</v>
      </c>
      <c r="O22" s="604"/>
    </row>
    <row r="23" spans="1:15" s="3" customFormat="1" ht="19.5" customHeight="1">
      <c r="A23" s="581" t="s">
        <v>178</v>
      </c>
      <c r="B23" s="582"/>
      <c r="C23" s="583"/>
      <c r="D23" s="574"/>
      <c r="E23" s="576"/>
      <c r="F23" s="607"/>
      <c r="G23" s="608"/>
      <c r="H23" s="607"/>
      <c r="I23" s="608"/>
      <c r="J23" s="607">
        <v>31383.4</v>
      </c>
      <c r="K23" s="608"/>
      <c r="L23" s="603" t="e">
        <f t="shared" si="0"/>
        <v>#DIV/0!</v>
      </c>
      <c r="M23" s="604"/>
      <c r="N23" s="603" t="e">
        <f t="shared" si="1"/>
        <v>#DIV/0!</v>
      </c>
      <c r="O23" s="604"/>
    </row>
    <row r="24" spans="1:15" s="3" customFormat="1" ht="39" customHeight="1">
      <c r="A24" s="578" t="s">
        <v>337</v>
      </c>
      <c r="B24" s="579"/>
      <c r="C24" s="580"/>
      <c r="D24" s="605" t="e">
        <f>(D20/D12)/12*1000</f>
        <v>#DIV/0!</v>
      </c>
      <c r="E24" s="606"/>
      <c r="F24" s="605" t="e">
        <f>(F20/F12)/6*1000</f>
        <v>#DIV/0!</v>
      </c>
      <c r="G24" s="606"/>
      <c r="H24" s="605" t="e">
        <f>(H20/H12)/7*1000</f>
        <v>#DIV/0!</v>
      </c>
      <c r="I24" s="606"/>
      <c r="J24" s="588">
        <f>(J20/J12)/12*1000</f>
        <v>4957.72804054054</v>
      </c>
      <c r="K24" s="589"/>
      <c r="L24" s="605" t="s">
        <v>408</v>
      </c>
      <c r="M24" s="606"/>
      <c r="N24" s="605" t="e">
        <f t="shared" si="1"/>
        <v>#DIV/0!</v>
      </c>
      <c r="O24" s="606"/>
    </row>
    <row r="25" spans="1:15" s="3" customFormat="1" ht="20.100000000000001" customHeight="1">
      <c r="A25" s="581" t="s">
        <v>177</v>
      </c>
      <c r="B25" s="582"/>
      <c r="C25" s="583"/>
      <c r="D25" s="603" t="e">
        <f>(D21/D13)/12*1000</f>
        <v>#DIV/0!</v>
      </c>
      <c r="E25" s="604"/>
      <c r="F25" s="603" t="e">
        <f>(F21/F13)/7*1000</f>
        <v>#DIV/0!</v>
      </c>
      <c r="G25" s="604"/>
      <c r="H25" s="603" t="e">
        <f>(H21/H13)/7*1000</f>
        <v>#DIV/0!</v>
      </c>
      <c r="I25" s="604"/>
      <c r="J25" s="574">
        <f>(J21/J13)/12*1000</f>
        <v>31875</v>
      </c>
      <c r="K25" s="576"/>
      <c r="L25" s="603" t="e">
        <f t="shared" si="0"/>
        <v>#DIV/0!</v>
      </c>
      <c r="M25" s="604"/>
      <c r="N25" s="603" t="e">
        <f t="shared" si="1"/>
        <v>#DIV/0!</v>
      </c>
      <c r="O25" s="604"/>
    </row>
    <row r="26" spans="1:15" s="3" customFormat="1" ht="20.100000000000001" customHeight="1">
      <c r="A26" s="581" t="s">
        <v>187</v>
      </c>
      <c r="B26" s="582"/>
      <c r="C26" s="583"/>
      <c r="D26" s="603" t="e">
        <f>(D22/D14)/12*1000</f>
        <v>#DIV/0!</v>
      </c>
      <c r="E26" s="604"/>
      <c r="F26" s="603" t="e">
        <f>(F22/F14)/7*1000</f>
        <v>#DIV/0!</v>
      </c>
      <c r="G26" s="604"/>
      <c r="H26" s="603" t="e">
        <f>(H22/H14)/7*1000</f>
        <v>#DIV/0!</v>
      </c>
      <c r="I26" s="604"/>
      <c r="J26" s="574">
        <f>(J22/J14)/12*1000</f>
        <v>4108.2142857142853</v>
      </c>
      <c r="K26" s="576"/>
      <c r="L26" s="603" t="e">
        <f t="shared" si="0"/>
        <v>#DIV/0!</v>
      </c>
      <c r="M26" s="604"/>
      <c r="N26" s="603" t="e">
        <f t="shared" si="1"/>
        <v>#DIV/0!</v>
      </c>
      <c r="O26" s="604"/>
    </row>
    <row r="27" spans="1:15" s="3" customFormat="1" ht="20.25" customHeight="1">
      <c r="A27" s="581" t="s">
        <v>178</v>
      </c>
      <c r="B27" s="582"/>
      <c r="C27" s="583"/>
      <c r="D27" s="603" t="e">
        <f>(D23/D15)/12*1000</f>
        <v>#DIV/0!</v>
      </c>
      <c r="E27" s="604"/>
      <c r="F27" s="603" t="e">
        <f>(F23/F15)/7*1000</f>
        <v>#DIV/0!</v>
      </c>
      <c r="G27" s="604"/>
      <c r="H27" s="603" t="e">
        <f>(H23/H15)/7*1000</f>
        <v>#DIV/0!</v>
      </c>
      <c r="I27" s="604"/>
      <c r="J27" s="574">
        <f>(J23/J15)/12*1000</f>
        <v>5019.7376839411381</v>
      </c>
      <c r="K27" s="576"/>
      <c r="L27" s="603" t="e">
        <f t="shared" si="0"/>
        <v>#DIV/0!</v>
      </c>
      <c r="M27" s="604"/>
      <c r="N27" s="603" t="e">
        <f t="shared" si="1"/>
        <v>#DIV/0!</v>
      </c>
      <c r="O27" s="604"/>
    </row>
    <row r="28" spans="1:15" ht="10.5" customHeight="1">
      <c r="A28" s="139"/>
      <c r="B28" s="139"/>
      <c r="C28" s="139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spans="1:15" ht="20.100000000000001" customHeight="1">
      <c r="A29" s="611" t="s">
        <v>305</v>
      </c>
      <c r="B29" s="611"/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1"/>
      <c r="N29" s="611"/>
      <c r="O29" s="611"/>
    </row>
    <row r="30" spans="1:15" ht="15" customHeight="1">
      <c r="A30" s="140"/>
      <c r="B30" s="140"/>
      <c r="C30" s="140"/>
      <c r="D30" s="140"/>
      <c r="E30" s="140"/>
      <c r="F30" s="140"/>
      <c r="G30" s="140"/>
      <c r="H30" s="140"/>
      <c r="I30" s="140"/>
      <c r="J30" s="69"/>
      <c r="K30" s="69"/>
      <c r="L30" s="69"/>
      <c r="M30" s="69"/>
      <c r="N30" s="69"/>
      <c r="O30" s="69"/>
    </row>
    <row r="31" spans="1:15" ht="21.95" customHeight="1">
      <c r="A31" s="14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5" ht="25.5" customHeight="1">
      <c r="A32" s="609" t="s">
        <v>393</v>
      </c>
      <c r="B32" s="609"/>
      <c r="C32" s="609"/>
      <c r="D32" s="609"/>
      <c r="E32" s="609"/>
      <c r="F32" s="609"/>
      <c r="G32" s="609"/>
      <c r="H32" s="609"/>
      <c r="I32" s="609"/>
      <c r="J32" s="609"/>
      <c r="K32" s="69"/>
      <c r="L32" s="69"/>
      <c r="M32" s="69"/>
      <c r="N32" s="69"/>
      <c r="O32" s="69"/>
    </row>
    <row r="33" spans="1:15" ht="64.5" customHeight="1">
      <c r="A33" s="568" t="s">
        <v>429</v>
      </c>
      <c r="B33" s="597" t="s">
        <v>198</v>
      </c>
      <c r="C33" s="599"/>
      <c r="D33" s="584" t="s">
        <v>519</v>
      </c>
      <c r="E33" s="584"/>
      <c r="F33" s="584"/>
      <c r="G33" s="584" t="s">
        <v>517</v>
      </c>
      <c r="H33" s="584"/>
      <c r="I33" s="584"/>
      <c r="J33" s="597" t="s">
        <v>531</v>
      </c>
      <c r="K33" s="598"/>
      <c r="L33" s="599"/>
      <c r="M33" s="584" t="s">
        <v>518</v>
      </c>
      <c r="N33" s="584"/>
      <c r="O33" s="584"/>
    </row>
    <row r="34" spans="1:15" ht="150.75" customHeight="1">
      <c r="A34" s="569"/>
      <c r="B34" s="89" t="s">
        <v>532</v>
      </c>
      <c r="C34" s="89" t="s">
        <v>533</v>
      </c>
      <c r="D34" s="89" t="s">
        <v>355</v>
      </c>
      <c r="E34" s="89" t="s">
        <v>199</v>
      </c>
      <c r="F34" s="89" t="s">
        <v>356</v>
      </c>
      <c r="G34" s="89" t="s">
        <v>355</v>
      </c>
      <c r="H34" s="89" t="s">
        <v>199</v>
      </c>
      <c r="I34" s="89" t="s">
        <v>356</v>
      </c>
      <c r="J34" s="89" t="s">
        <v>355</v>
      </c>
      <c r="K34" s="89" t="s">
        <v>199</v>
      </c>
      <c r="L34" s="89" t="s">
        <v>356</v>
      </c>
      <c r="M34" s="89" t="s">
        <v>355</v>
      </c>
      <c r="N34" s="89" t="s">
        <v>199</v>
      </c>
      <c r="O34" s="89" t="s">
        <v>356</v>
      </c>
    </row>
    <row r="35" spans="1:15" ht="20.100000000000001" customHeight="1">
      <c r="A35" s="89">
        <v>1</v>
      </c>
      <c r="B35" s="89">
        <v>2</v>
      </c>
      <c r="C35" s="89">
        <v>3</v>
      </c>
      <c r="D35" s="89">
        <v>4</v>
      </c>
      <c r="E35" s="89">
        <v>5</v>
      </c>
      <c r="F35" s="89">
        <v>6</v>
      </c>
      <c r="G35" s="89">
        <v>7</v>
      </c>
      <c r="H35" s="80">
        <v>8</v>
      </c>
      <c r="I35" s="80">
        <v>9</v>
      </c>
      <c r="J35" s="80">
        <v>10</v>
      </c>
      <c r="K35" s="80">
        <v>11</v>
      </c>
      <c r="L35" s="80">
        <v>12</v>
      </c>
      <c r="M35" s="80">
        <v>13</v>
      </c>
      <c r="N35" s="80">
        <v>14</v>
      </c>
      <c r="O35" s="80">
        <v>15</v>
      </c>
    </row>
    <row r="36" spans="1:15" ht="40.5" customHeight="1">
      <c r="A36" s="201" t="s">
        <v>490</v>
      </c>
      <c r="B36" s="95"/>
      <c r="C36" s="95">
        <v>100</v>
      </c>
      <c r="D36" s="142"/>
      <c r="E36" s="142"/>
      <c r="F36" s="143"/>
      <c r="G36" s="143"/>
      <c r="H36" s="142"/>
      <c r="I36" s="143"/>
      <c r="J36" s="143"/>
      <c r="K36" s="142"/>
      <c r="L36" s="143"/>
      <c r="M36" s="143">
        <v>236.4</v>
      </c>
      <c r="N36" s="142">
        <v>2527</v>
      </c>
      <c r="O36" s="143">
        <f>M36/N36*1000</f>
        <v>93.549663632766126</v>
      </c>
    </row>
    <row r="37" spans="1:15" ht="20.100000000000001" customHeight="1">
      <c r="A37" s="87"/>
      <c r="B37" s="95"/>
      <c r="C37" s="95">
        <v>100</v>
      </c>
      <c r="D37" s="142"/>
      <c r="E37" s="142"/>
      <c r="F37" s="143"/>
      <c r="G37" s="142"/>
      <c r="H37" s="142"/>
      <c r="I37" s="143"/>
      <c r="J37" s="142"/>
      <c r="K37" s="142"/>
      <c r="L37" s="143"/>
      <c r="M37" s="142"/>
      <c r="N37" s="142"/>
      <c r="O37" s="143"/>
    </row>
    <row r="38" spans="1:15" ht="20.100000000000001" customHeight="1">
      <c r="A38" s="107" t="s">
        <v>52</v>
      </c>
      <c r="B38" s="144"/>
      <c r="C38" s="144"/>
      <c r="D38" s="145">
        <f>SUM(D36:D37)</f>
        <v>0</v>
      </c>
      <c r="E38" s="145"/>
      <c r="F38" s="146"/>
      <c r="G38" s="146">
        <f t="shared" ref="G38:M38" si="2">SUM(G36:G37)</f>
        <v>0</v>
      </c>
      <c r="H38" s="220">
        <f t="shared" si="2"/>
        <v>0</v>
      </c>
      <c r="I38" s="146">
        <f t="shared" si="2"/>
        <v>0</v>
      </c>
      <c r="J38" s="146">
        <f t="shared" si="2"/>
        <v>0</v>
      </c>
      <c r="K38" s="223">
        <f t="shared" si="2"/>
        <v>0</v>
      </c>
      <c r="L38" s="146">
        <f t="shared" si="2"/>
        <v>0</v>
      </c>
      <c r="M38" s="146">
        <f t="shared" si="2"/>
        <v>236.4</v>
      </c>
      <c r="N38" s="146">
        <f>SUM(N36:N37)</f>
        <v>2527</v>
      </c>
      <c r="O38" s="146">
        <f>SUM(O36:O37)</f>
        <v>93.549663632766126</v>
      </c>
    </row>
    <row r="39" spans="1:15" ht="20.100000000000001" customHeight="1">
      <c r="A39" s="60"/>
      <c r="B39" s="147"/>
      <c r="C39" s="147"/>
      <c r="D39" s="147"/>
      <c r="E39" s="147"/>
      <c r="F39" s="148"/>
      <c r="G39" s="148"/>
      <c r="H39" s="148"/>
      <c r="I39" s="149"/>
      <c r="J39" s="149"/>
      <c r="K39" s="149"/>
      <c r="L39" s="149"/>
      <c r="M39" s="149"/>
      <c r="N39" s="149"/>
      <c r="O39" s="149"/>
    </row>
    <row r="40" spans="1:15" ht="20.100000000000001" customHeight="1">
      <c r="A40" s="590" t="s">
        <v>394</v>
      </c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</row>
    <row r="41" spans="1:15" ht="20.100000000000001" customHeight="1">
      <c r="A41" s="150"/>
      <c r="B41" s="15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ht="35.25" customHeight="1">
      <c r="A42" s="89" t="s">
        <v>111</v>
      </c>
      <c r="B42" s="584" t="s">
        <v>67</v>
      </c>
      <c r="C42" s="584"/>
      <c r="D42" s="584" t="s">
        <v>61</v>
      </c>
      <c r="E42" s="584"/>
      <c r="F42" s="584" t="s">
        <v>62</v>
      </c>
      <c r="G42" s="584"/>
      <c r="H42" s="584" t="s">
        <v>200</v>
      </c>
      <c r="I42" s="584"/>
      <c r="J42" s="584"/>
      <c r="K42" s="597" t="s">
        <v>80</v>
      </c>
      <c r="L42" s="599"/>
      <c r="M42" s="597" t="s">
        <v>31</v>
      </c>
      <c r="N42" s="598"/>
      <c r="O42" s="599"/>
    </row>
    <row r="43" spans="1:15" ht="20.100000000000001" customHeight="1">
      <c r="A43" s="80">
        <v>1</v>
      </c>
      <c r="B43" s="587">
        <v>2</v>
      </c>
      <c r="C43" s="587"/>
      <c r="D43" s="587">
        <v>3</v>
      </c>
      <c r="E43" s="587"/>
      <c r="F43" s="610">
        <v>4</v>
      </c>
      <c r="G43" s="610"/>
      <c r="H43" s="587">
        <v>5</v>
      </c>
      <c r="I43" s="587"/>
      <c r="J43" s="587"/>
      <c r="K43" s="587">
        <v>6</v>
      </c>
      <c r="L43" s="587"/>
      <c r="M43" s="600">
        <v>7</v>
      </c>
      <c r="N43" s="601"/>
      <c r="O43" s="602"/>
    </row>
    <row r="44" spans="1:15" ht="21.95" customHeight="1">
      <c r="A44" s="87"/>
      <c r="B44" s="585"/>
      <c r="C44" s="585"/>
      <c r="D44" s="573"/>
      <c r="E44" s="573"/>
      <c r="F44" s="586"/>
      <c r="G44" s="586"/>
      <c r="H44" s="584"/>
      <c r="I44" s="584"/>
      <c r="J44" s="584"/>
      <c r="K44" s="574"/>
      <c r="L44" s="576"/>
      <c r="M44" s="585"/>
      <c r="N44" s="585"/>
      <c r="O44" s="585"/>
    </row>
    <row r="45" spans="1:15" ht="20.100000000000001" customHeight="1">
      <c r="A45" s="87"/>
      <c r="B45" s="594"/>
      <c r="C45" s="595"/>
      <c r="D45" s="574"/>
      <c r="E45" s="576"/>
      <c r="F45" s="592"/>
      <c r="G45" s="593"/>
      <c r="H45" s="597"/>
      <c r="I45" s="598"/>
      <c r="J45" s="599"/>
      <c r="K45" s="574"/>
      <c r="L45" s="576"/>
      <c r="M45" s="594"/>
      <c r="N45" s="596"/>
      <c r="O45" s="595"/>
    </row>
    <row r="46" spans="1:15" ht="27" customHeight="1">
      <c r="A46" s="87"/>
      <c r="B46" s="585"/>
      <c r="C46" s="585"/>
      <c r="D46" s="573"/>
      <c r="E46" s="573"/>
      <c r="F46" s="586"/>
      <c r="G46" s="586"/>
      <c r="H46" s="584"/>
      <c r="I46" s="584"/>
      <c r="J46" s="584"/>
      <c r="K46" s="574"/>
      <c r="L46" s="576"/>
      <c r="M46" s="585"/>
      <c r="N46" s="585"/>
      <c r="O46" s="585"/>
    </row>
    <row r="47" spans="1:15">
      <c r="A47" s="107" t="s">
        <v>52</v>
      </c>
      <c r="B47" s="475" t="s">
        <v>32</v>
      </c>
      <c r="C47" s="475"/>
      <c r="D47" s="475" t="s">
        <v>32</v>
      </c>
      <c r="E47" s="475"/>
      <c r="F47" s="475" t="s">
        <v>32</v>
      </c>
      <c r="G47" s="475"/>
      <c r="H47" s="475"/>
      <c r="I47" s="475"/>
      <c r="J47" s="475"/>
      <c r="K47" s="588">
        <f>SUM(K44:K46)</f>
        <v>0</v>
      </c>
      <c r="L47" s="589"/>
      <c r="M47" s="591"/>
      <c r="N47" s="591"/>
      <c r="O47" s="591"/>
    </row>
    <row r="48" spans="1:15" ht="18" customHeight="1">
      <c r="A48" s="148"/>
      <c r="B48" s="61"/>
      <c r="C48" s="61"/>
      <c r="D48" s="61"/>
      <c r="E48" s="61"/>
      <c r="F48" s="61"/>
      <c r="G48" s="61"/>
      <c r="H48" s="61"/>
      <c r="I48" s="61"/>
      <c r="J48" s="61"/>
      <c r="K48" s="59"/>
      <c r="L48" s="59"/>
      <c r="M48" s="59"/>
      <c r="N48" s="59"/>
      <c r="O48" s="59"/>
    </row>
    <row r="49" spans="1:15" ht="20.100000000000001" customHeight="1">
      <c r="A49" s="590" t="s">
        <v>395</v>
      </c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</row>
    <row r="50" spans="1:15" ht="20.100000000000001" customHeight="1">
      <c r="A50" s="149"/>
      <c r="B50" s="152"/>
      <c r="C50" s="149"/>
      <c r="D50" s="149"/>
      <c r="E50" s="149"/>
      <c r="F50" s="149"/>
      <c r="G50" s="149"/>
      <c r="H50" s="149"/>
      <c r="I50" s="153"/>
      <c r="J50" s="69"/>
      <c r="K50" s="69"/>
      <c r="L50" s="69"/>
      <c r="M50" s="69"/>
      <c r="N50" s="69"/>
      <c r="O50" s="69"/>
    </row>
    <row r="51" spans="1:15" ht="38.25" customHeight="1">
      <c r="A51" s="584" t="s">
        <v>60</v>
      </c>
      <c r="B51" s="584"/>
      <c r="C51" s="584"/>
      <c r="D51" s="584" t="s">
        <v>81</v>
      </c>
      <c r="E51" s="584"/>
      <c r="F51" s="584"/>
      <c r="G51" s="584" t="s">
        <v>219</v>
      </c>
      <c r="H51" s="584"/>
      <c r="I51" s="584"/>
      <c r="J51" s="584" t="s">
        <v>217</v>
      </c>
      <c r="K51" s="584"/>
      <c r="L51" s="584"/>
      <c r="M51" s="584" t="s">
        <v>82</v>
      </c>
      <c r="N51" s="584"/>
      <c r="O51" s="584"/>
    </row>
    <row r="52" spans="1:15" ht="20.100000000000001" customHeight="1">
      <c r="A52" s="584">
        <v>1</v>
      </c>
      <c r="B52" s="584"/>
      <c r="C52" s="584"/>
      <c r="D52" s="584">
        <v>2</v>
      </c>
      <c r="E52" s="584"/>
      <c r="F52" s="584"/>
      <c r="G52" s="584">
        <v>3</v>
      </c>
      <c r="H52" s="584"/>
      <c r="I52" s="584"/>
      <c r="J52" s="587">
        <v>4</v>
      </c>
      <c r="K52" s="587"/>
      <c r="L52" s="587"/>
      <c r="M52" s="587">
        <v>5</v>
      </c>
      <c r="N52" s="587"/>
      <c r="O52" s="587"/>
    </row>
    <row r="53" spans="1:15" ht="21.95" customHeight="1">
      <c r="A53" s="572" t="s">
        <v>201</v>
      </c>
      <c r="B53" s="572"/>
      <c r="C53" s="572"/>
      <c r="D53" s="573"/>
      <c r="E53" s="573"/>
      <c r="F53" s="573"/>
      <c r="G53" s="573"/>
      <c r="H53" s="573"/>
      <c r="I53" s="573"/>
      <c r="J53" s="573"/>
      <c r="K53" s="573"/>
      <c r="L53" s="573"/>
      <c r="M53" s="573">
        <f>D53+G53-J53</f>
        <v>0</v>
      </c>
      <c r="N53" s="573"/>
      <c r="O53" s="573"/>
    </row>
    <row r="54" spans="1:15" ht="20.100000000000001" customHeight="1">
      <c r="A54" s="572" t="s">
        <v>93</v>
      </c>
      <c r="B54" s="572"/>
      <c r="C54" s="572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</row>
    <row r="55" spans="1:15" ht="21" customHeight="1">
      <c r="A55" s="572"/>
      <c r="B55" s="572"/>
      <c r="C55" s="572"/>
      <c r="D55" s="574"/>
      <c r="E55" s="575"/>
      <c r="F55" s="576"/>
      <c r="G55" s="574"/>
      <c r="H55" s="575"/>
      <c r="I55" s="576"/>
      <c r="J55" s="574"/>
      <c r="K55" s="575"/>
      <c r="L55" s="576"/>
      <c r="M55" s="574"/>
      <c r="N55" s="575"/>
      <c r="O55" s="576"/>
    </row>
    <row r="56" spans="1:15" ht="18" customHeight="1">
      <c r="A56" s="572" t="s">
        <v>202</v>
      </c>
      <c r="B56" s="572"/>
      <c r="C56" s="572"/>
      <c r="D56" s="573"/>
      <c r="E56" s="573"/>
      <c r="F56" s="573"/>
      <c r="G56" s="573"/>
      <c r="H56" s="573"/>
      <c r="I56" s="573"/>
      <c r="J56" s="573"/>
      <c r="K56" s="573"/>
      <c r="L56" s="573"/>
      <c r="M56" s="573">
        <f>D56+G56-J56</f>
        <v>0</v>
      </c>
      <c r="N56" s="573"/>
      <c r="O56" s="573"/>
    </row>
    <row r="57" spans="1:15" ht="20.100000000000001" customHeight="1">
      <c r="A57" s="572" t="s">
        <v>94</v>
      </c>
      <c r="B57" s="572"/>
      <c r="C57" s="572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</row>
    <row r="58" spans="1:15" ht="20.100000000000001" customHeight="1">
      <c r="A58" s="572"/>
      <c r="B58" s="572"/>
      <c r="C58" s="572"/>
      <c r="D58" s="574"/>
      <c r="E58" s="575"/>
      <c r="F58" s="576"/>
      <c r="G58" s="574"/>
      <c r="H58" s="575"/>
      <c r="I58" s="576"/>
      <c r="J58" s="574"/>
      <c r="K58" s="575"/>
      <c r="L58" s="576"/>
      <c r="M58" s="574"/>
      <c r="N58" s="575"/>
      <c r="O58" s="576"/>
    </row>
    <row r="59" spans="1:15" ht="20.100000000000001" customHeight="1">
      <c r="A59" s="572" t="s">
        <v>203</v>
      </c>
      <c r="B59" s="572"/>
      <c r="C59" s="572"/>
      <c r="D59" s="573"/>
      <c r="E59" s="573"/>
      <c r="F59" s="573"/>
      <c r="G59" s="573"/>
      <c r="H59" s="573"/>
      <c r="I59" s="573"/>
      <c r="J59" s="573"/>
      <c r="K59" s="573"/>
      <c r="L59" s="573"/>
      <c r="M59" s="573">
        <f>D59+G59-J59</f>
        <v>0</v>
      </c>
      <c r="N59" s="573"/>
      <c r="O59" s="573"/>
    </row>
    <row r="60" spans="1:15" ht="20.100000000000001" customHeight="1">
      <c r="A60" s="572" t="s">
        <v>93</v>
      </c>
      <c r="B60" s="572"/>
      <c r="C60" s="572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</row>
    <row r="61" spans="1:15" ht="20.100000000000001" customHeight="1">
      <c r="A61" s="581"/>
      <c r="B61" s="582"/>
      <c r="C61" s="58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</row>
    <row r="62" spans="1:15" ht="21.95" customHeight="1">
      <c r="A62" s="578" t="s">
        <v>52</v>
      </c>
      <c r="B62" s="579"/>
      <c r="C62" s="580"/>
      <c r="D62" s="577">
        <f>SUM(D53,D56,D59)</f>
        <v>0</v>
      </c>
      <c r="E62" s="577"/>
      <c r="F62" s="577"/>
      <c r="G62" s="577">
        <f>SUM(G53,G56,G59)</f>
        <v>0</v>
      </c>
      <c r="H62" s="577"/>
      <c r="I62" s="577"/>
      <c r="J62" s="577">
        <f>SUM(J53,J56,J59)</f>
        <v>0</v>
      </c>
      <c r="K62" s="577"/>
      <c r="L62" s="577"/>
      <c r="M62" s="577">
        <f>D62+G62-J62</f>
        <v>0</v>
      </c>
      <c r="N62" s="577"/>
      <c r="O62" s="577"/>
    </row>
    <row r="63" spans="1:15" ht="20.100000000000001" customHeight="1">
      <c r="A63" s="69"/>
      <c r="B63" s="151"/>
      <c r="C63" s="154"/>
      <c r="D63" s="154"/>
      <c r="E63" s="154"/>
      <c r="F63" s="69"/>
      <c r="G63" s="69"/>
      <c r="H63" s="69"/>
      <c r="I63" s="69"/>
      <c r="J63" s="69"/>
      <c r="K63" s="69"/>
      <c r="L63" s="69"/>
      <c r="M63" s="69"/>
      <c r="N63" s="69"/>
      <c r="O63" s="69"/>
    </row>
    <row r="64" spans="1:15" ht="78" customHeight="1">
      <c r="A64" s="571" t="s">
        <v>734</v>
      </c>
      <c r="B64" s="571"/>
      <c r="D64" s="570"/>
      <c r="E64" s="570"/>
      <c r="F64" s="570"/>
      <c r="H64" s="614"/>
      <c r="I64" s="614"/>
      <c r="J64" s="614"/>
      <c r="K64" s="69"/>
      <c r="L64" s="69"/>
      <c r="M64" s="69"/>
      <c r="N64" s="186" t="s">
        <v>617</v>
      </c>
      <c r="O64" s="69"/>
    </row>
    <row r="65" spans="1:15" ht="18" customHeight="1">
      <c r="A65" s="496"/>
      <c r="B65" s="496"/>
      <c r="C65" s="503"/>
      <c r="D65" s="503"/>
      <c r="E65" s="503"/>
      <c r="F65" s="503"/>
      <c r="G65" s="503" t="s">
        <v>191</v>
      </c>
      <c r="H65" s="503"/>
      <c r="I65" s="503"/>
      <c r="J65" s="503"/>
      <c r="K65" s="69"/>
      <c r="L65" s="69"/>
      <c r="M65" s="498" t="s">
        <v>92</v>
      </c>
      <c r="N65" s="498"/>
      <c r="O65" s="498"/>
    </row>
    <row r="66" spans="1:15" ht="20.100000000000001" customHeight="1">
      <c r="A66" s="69"/>
      <c r="B66" s="151"/>
      <c r="C66" s="154"/>
      <c r="D66" s="154"/>
      <c r="E66" s="154"/>
      <c r="F66" s="69"/>
      <c r="G66" s="154"/>
      <c r="H66" s="154"/>
      <c r="I66" s="154"/>
      <c r="J66" s="69"/>
      <c r="K66" s="69"/>
      <c r="L66" s="69"/>
      <c r="M66" s="69"/>
      <c r="N66" s="69"/>
      <c r="O66" s="69"/>
    </row>
    <row r="67" spans="1:15" ht="20.100000000000001" customHeight="1">
      <c r="A67" s="69"/>
      <c r="B67" s="151"/>
      <c r="C67" s="154"/>
      <c r="D67" s="154"/>
      <c r="E67" s="154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20.100000000000001" customHeight="1">
      <c r="A68" s="69"/>
      <c r="B68" s="151"/>
      <c r="C68" s="154"/>
      <c r="D68" s="154"/>
      <c r="E68" s="154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20.100000000000001" customHeight="1">
      <c r="A69" s="69"/>
      <c r="B69" s="151"/>
      <c r="C69" s="154"/>
      <c r="D69" s="154"/>
      <c r="E69" s="154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20.100000000000001" customHeight="1">
      <c r="A70" s="69"/>
      <c r="B70" s="151"/>
      <c r="C70" s="154"/>
      <c r="D70" s="154"/>
      <c r="E70" s="154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20.100000000000001" customHeight="1">
      <c r="A71" s="69"/>
      <c r="B71" s="151"/>
      <c r="C71" s="154"/>
      <c r="D71" s="154"/>
      <c r="E71" s="154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20.100000000000001" customHeight="1">
      <c r="C72" s="18"/>
      <c r="D72" s="18"/>
      <c r="E72" s="18"/>
    </row>
    <row r="73" spans="1:15" ht="20.100000000000001" customHeight="1">
      <c r="C73" s="18"/>
      <c r="D73" s="18"/>
      <c r="E73" s="18"/>
    </row>
    <row r="74" spans="1:15" ht="20.100000000000001" customHeight="1">
      <c r="C74" s="18"/>
      <c r="D74" s="18"/>
      <c r="E74" s="18"/>
    </row>
    <row r="75" spans="1:15" ht="20.100000000000001" customHeight="1">
      <c r="C75" s="18"/>
      <c r="D75" s="18"/>
      <c r="E75" s="18"/>
    </row>
    <row r="76" spans="1:15">
      <c r="C76" s="18"/>
      <c r="D76" s="18"/>
      <c r="E76" s="18"/>
    </row>
  </sheetData>
  <mergeCells count="245">
    <mergeCell ref="M65:O65"/>
    <mergeCell ref="H64:J64"/>
    <mergeCell ref="G65:J65"/>
    <mergeCell ref="A2:O2"/>
    <mergeCell ref="A3:O3"/>
    <mergeCell ref="A4:O4"/>
    <mergeCell ref="D10:E10"/>
    <mergeCell ref="F10:G10"/>
    <mergeCell ref="N11:O11"/>
    <mergeCell ref="A5:O5"/>
    <mergeCell ref="H10:I10"/>
    <mergeCell ref="L10:M10"/>
    <mergeCell ref="D11:E11"/>
    <mergeCell ref="F11:G11"/>
    <mergeCell ref="J11:K11"/>
    <mergeCell ref="A6:O6"/>
    <mergeCell ref="A10:C10"/>
    <mergeCell ref="A8:O8"/>
    <mergeCell ref="A11:C11"/>
    <mergeCell ref="L11:M11"/>
    <mergeCell ref="N13:O13"/>
    <mergeCell ref="J13:K13"/>
    <mergeCell ref="L13:M13"/>
    <mergeCell ref="H13:I13"/>
    <mergeCell ref="H11:I11"/>
    <mergeCell ref="J10:K10"/>
    <mergeCell ref="N10:O10"/>
    <mergeCell ref="L12:M12"/>
    <mergeCell ref="H12:I12"/>
    <mergeCell ref="J12:K12"/>
    <mergeCell ref="N12:O12"/>
    <mergeCell ref="A12:C12"/>
    <mergeCell ref="F12:G12"/>
    <mergeCell ref="A13:C13"/>
    <mergeCell ref="D13:E13"/>
    <mergeCell ref="D12:E12"/>
    <mergeCell ref="A17:C17"/>
    <mergeCell ref="A15:C15"/>
    <mergeCell ref="D14:E14"/>
    <mergeCell ref="F16:G16"/>
    <mergeCell ref="F13:G13"/>
    <mergeCell ref="D15:E15"/>
    <mergeCell ref="N14:O14"/>
    <mergeCell ref="F14:G14"/>
    <mergeCell ref="F17:G17"/>
    <mergeCell ref="N18:O18"/>
    <mergeCell ref="L18:M18"/>
    <mergeCell ref="H14:I14"/>
    <mergeCell ref="N15:O15"/>
    <mergeCell ref="A16:C16"/>
    <mergeCell ref="D16:E16"/>
    <mergeCell ref="H16:I16"/>
    <mergeCell ref="J16:K16"/>
    <mergeCell ref="L16:M16"/>
    <mergeCell ref="N17:O17"/>
    <mergeCell ref="L17:M17"/>
    <mergeCell ref="N16:O16"/>
    <mergeCell ref="J17:K17"/>
    <mergeCell ref="J15:K15"/>
    <mergeCell ref="F15:G15"/>
    <mergeCell ref="H15:I15"/>
    <mergeCell ref="A14:C14"/>
    <mergeCell ref="L14:M14"/>
    <mergeCell ref="L15:M15"/>
    <mergeCell ref="J14:K14"/>
    <mergeCell ref="A18:C18"/>
    <mergeCell ref="N20:O20"/>
    <mergeCell ref="H17:I17"/>
    <mergeCell ref="D17:E17"/>
    <mergeCell ref="F21:G21"/>
    <mergeCell ref="D21:E21"/>
    <mergeCell ref="L20:M20"/>
    <mergeCell ref="J20:K20"/>
    <mergeCell ref="F19:G19"/>
    <mergeCell ref="L19:M19"/>
    <mergeCell ref="H19:I19"/>
    <mergeCell ref="D18:E18"/>
    <mergeCell ref="H18:I18"/>
    <mergeCell ref="H21:I21"/>
    <mergeCell ref="H20:I20"/>
    <mergeCell ref="J21:K21"/>
    <mergeCell ref="J18:K18"/>
    <mergeCell ref="F18:G18"/>
    <mergeCell ref="N19:O19"/>
    <mergeCell ref="J19:K19"/>
    <mergeCell ref="N21:O21"/>
    <mergeCell ref="L21:M21"/>
    <mergeCell ref="A20:C20"/>
    <mergeCell ref="A21:C21"/>
    <mergeCell ref="D22:E22"/>
    <mergeCell ref="A19:C19"/>
    <mergeCell ref="D19:E19"/>
    <mergeCell ref="F22:G22"/>
    <mergeCell ref="H22:I22"/>
    <mergeCell ref="D20:E20"/>
    <mergeCell ref="F20:G20"/>
    <mergeCell ref="A22:C22"/>
    <mergeCell ref="A24:C24"/>
    <mergeCell ref="A29:O29"/>
    <mergeCell ref="H23:I23"/>
    <mergeCell ref="H24:I24"/>
    <mergeCell ref="L23:M23"/>
    <mergeCell ref="J23:K23"/>
    <mergeCell ref="L24:M24"/>
    <mergeCell ref="L25:M25"/>
    <mergeCell ref="L27:M27"/>
    <mergeCell ref="J24:K24"/>
    <mergeCell ref="J26:K26"/>
    <mergeCell ref="H26:I26"/>
    <mergeCell ref="F25:G25"/>
    <mergeCell ref="F26:G26"/>
    <mergeCell ref="H25:I25"/>
    <mergeCell ref="H27:I27"/>
    <mergeCell ref="A27:C27"/>
    <mergeCell ref="F27:G27"/>
    <mergeCell ref="A23:C23"/>
    <mergeCell ref="D23:E23"/>
    <mergeCell ref="D24:E24"/>
    <mergeCell ref="D26:E26"/>
    <mergeCell ref="A26:C26"/>
    <mergeCell ref="D27:E27"/>
    <mergeCell ref="N22:O22"/>
    <mergeCell ref="F24:G24"/>
    <mergeCell ref="N23:O23"/>
    <mergeCell ref="N24:O24"/>
    <mergeCell ref="F23:G23"/>
    <mergeCell ref="L22:M22"/>
    <mergeCell ref="J22:K22"/>
    <mergeCell ref="K45:L45"/>
    <mergeCell ref="M33:O33"/>
    <mergeCell ref="N27:O27"/>
    <mergeCell ref="J25:K25"/>
    <mergeCell ref="N25:O25"/>
    <mergeCell ref="N26:O26"/>
    <mergeCell ref="J27:K27"/>
    <mergeCell ref="L26:M26"/>
    <mergeCell ref="J33:L33"/>
    <mergeCell ref="M42:O42"/>
    <mergeCell ref="D33:F33"/>
    <mergeCell ref="A32:J32"/>
    <mergeCell ref="A25:C25"/>
    <mergeCell ref="D25:E25"/>
    <mergeCell ref="F43:G43"/>
    <mergeCell ref="G33:I33"/>
    <mergeCell ref="D42:E42"/>
    <mergeCell ref="D44:E44"/>
    <mergeCell ref="D45:E45"/>
    <mergeCell ref="F45:G45"/>
    <mergeCell ref="F44:G44"/>
    <mergeCell ref="F42:G42"/>
    <mergeCell ref="A40:O40"/>
    <mergeCell ref="H42:J42"/>
    <mergeCell ref="A33:A34"/>
    <mergeCell ref="B45:C45"/>
    <mergeCell ref="B43:C43"/>
    <mergeCell ref="B44:C44"/>
    <mergeCell ref="D43:E43"/>
    <mergeCell ref="M45:O45"/>
    <mergeCell ref="H44:J44"/>
    <mergeCell ref="H43:J43"/>
    <mergeCell ref="M44:O44"/>
    <mergeCell ref="H45:J45"/>
    <mergeCell ref="K43:L43"/>
    <mergeCell ref="K44:L44"/>
    <mergeCell ref="M43:O43"/>
    <mergeCell ref="B42:C42"/>
    <mergeCell ref="B33:C33"/>
    <mergeCell ref="K42:L42"/>
    <mergeCell ref="M46:O46"/>
    <mergeCell ref="D46:E46"/>
    <mergeCell ref="F46:G46"/>
    <mergeCell ref="J53:L53"/>
    <mergeCell ref="J52:L52"/>
    <mergeCell ref="M52:O52"/>
    <mergeCell ref="H46:J46"/>
    <mergeCell ref="K46:L46"/>
    <mergeCell ref="M53:O53"/>
    <mergeCell ref="D53:F53"/>
    <mergeCell ref="K47:L47"/>
    <mergeCell ref="A49:O49"/>
    <mergeCell ref="J51:L51"/>
    <mergeCell ref="A51:C51"/>
    <mergeCell ref="M51:O51"/>
    <mergeCell ref="M47:O47"/>
    <mergeCell ref="B46:C46"/>
    <mergeCell ref="G51:I51"/>
    <mergeCell ref="H47:J47"/>
    <mergeCell ref="D51:F51"/>
    <mergeCell ref="B47:C47"/>
    <mergeCell ref="F47:G47"/>
    <mergeCell ref="D47:E47"/>
    <mergeCell ref="G52:I52"/>
    <mergeCell ref="D52:F52"/>
    <mergeCell ref="M56:O56"/>
    <mergeCell ref="J56:L56"/>
    <mergeCell ref="J57:L57"/>
    <mergeCell ref="A54:C54"/>
    <mergeCell ref="D54:F54"/>
    <mergeCell ref="G53:I53"/>
    <mergeCell ref="A53:C53"/>
    <mergeCell ref="A52:C52"/>
    <mergeCell ref="M54:O54"/>
    <mergeCell ref="A55:C55"/>
    <mergeCell ref="G55:I55"/>
    <mergeCell ref="M55:O55"/>
    <mergeCell ref="J54:L54"/>
    <mergeCell ref="G54:I54"/>
    <mergeCell ref="D55:F55"/>
    <mergeCell ref="J55:L55"/>
    <mergeCell ref="G56:I56"/>
    <mergeCell ref="A56:C56"/>
    <mergeCell ref="D56:F56"/>
    <mergeCell ref="A62:C62"/>
    <mergeCell ref="D62:F62"/>
    <mergeCell ref="G62:I62"/>
    <mergeCell ref="G61:I61"/>
    <mergeCell ref="A61:C61"/>
    <mergeCell ref="M62:O62"/>
    <mergeCell ref="M57:O57"/>
    <mergeCell ref="J58:L58"/>
    <mergeCell ref="A58:C58"/>
    <mergeCell ref="D64:F64"/>
    <mergeCell ref="A64:B64"/>
    <mergeCell ref="C65:F65"/>
    <mergeCell ref="A65:B65"/>
    <mergeCell ref="A57:C57"/>
    <mergeCell ref="G57:I57"/>
    <mergeCell ref="G58:I58"/>
    <mergeCell ref="M58:O58"/>
    <mergeCell ref="D57:F57"/>
    <mergeCell ref="D58:F58"/>
    <mergeCell ref="D59:F59"/>
    <mergeCell ref="J59:L59"/>
    <mergeCell ref="J62:L62"/>
    <mergeCell ref="G59:I59"/>
    <mergeCell ref="J61:L61"/>
    <mergeCell ref="M60:O60"/>
    <mergeCell ref="A59:C59"/>
    <mergeCell ref="M61:O61"/>
    <mergeCell ref="M59:O59"/>
    <mergeCell ref="J60:L60"/>
    <mergeCell ref="D61:F61"/>
    <mergeCell ref="A60:C60"/>
    <mergeCell ref="D60:F60"/>
    <mergeCell ref="G60:I60"/>
  </mergeCells>
  <phoneticPr fontId="3" type="noConversion"/>
  <pageMargins left="0.98425196850393704" right="0.39370078740157483" top="0.59055118110236227" bottom="0.39370078740157483" header="0.27559055118110237" footer="0.15748031496062992"/>
  <pageSetup paperSize="9" scale="52" orientation="landscape" horizontalDpi="1200" verticalDpi="1200" r:id="rId1"/>
  <headerFooter alignWithMargins="0"/>
  <rowBreaks count="1" manualBreakCount="1">
    <brk id="30" max="14" man="1"/>
  </rowBreaks>
  <ignoredErrors>
    <ignoredError sqref="L25:M27 D24:D27 L13:M23 M24 O12 L12:M12 N12:N27 O13:O27 K25 K26 K27 K24" evalError="1"/>
    <ignoredError sqref="D38:G38 J38 M38 K4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F100"/>
  <sheetViews>
    <sheetView view="pageBreakPreview" zoomScale="60" zoomScaleNormal="60" workbookViewId="0">
      <selection activeCell="AA95" sqref="AA95"/>
    </sheetView>
  </sheetViews>
  <sheetFormatPr defaultColWidth="9.140625" defaultRowHeight="18.75"/>
  <cols>
    <col min="1" max="1" width="8.28515625" style="2" customWidth="1"/>
    <col min="2" max="2" width="41" style="2" customWidth="1"/>
    <col min="3" max="5" width="11.28515625" style="2" customWidth="1"/>
    <col min="6" max="6" width="8.7109375" style="2" customWidth="1"/>
    <col min="7" max="7" width="10" style="2" customWidth="1"/>
    <col min="8" max="8" width="8" style="2" customWidth="1"/>
    <col min="9" max="9" width="10.28515625" style="2" customWidth="1"/>
    <col min="10" max="10" width="9.5703125" style="2" customWidth="1"/>
    <col min="11" max="11" width="9.28515625" style="2" customWidth="1"/>
    <col min="12" max="12" width="14.5703125" style="2" customWidth="1"/>
    <col min="13" max="13" width="9.28515625" style="2" customWidth="1"/>
    <col min="14" max="14" width="13.7109375" style="2" customWidth="1"/>
    <col min="15" max="15" width="15" style="2" customWidth="1"/>
    <col min="16" max="16" width="15.85546875" style="2" customWidth="1"/>
    <col min="17" max="18" width="14.140625" style="2" customWidth="1"/>
    <col min="19" max="19" width="16.28515625" style="2" customWidth="1"/>
    <col min="20" max="20" width="13.5703125" style="2" customWidth="1"/>
    <col min="21" max="21" width="13.42578125" style="2" customWidth="1"/>
    <col min="22" max="22" width="15.7109375" style="2" customWidth="1"/>
    <col min="23" max="23" width="11.140625" style="2" customWidth="1"/>
    <col min="24" max="24" width="12.28515625" style="2" customWidth="1"/>
    <col min="25" max="25" width="13.5703125" style="2" customWidth="1"/>
    <col min="26" max="26" width="10.5703125" style="2" customWidth="1"/>
    <col min="27" max="27" width="17" style="2" customWidth="1"/>
    <col min="28" max="28" width="15.42578125" style="2" customWidth="1"/>
    <col min="29" max="29" width="15" style="2" customWidth="1"/>
    <col min="30" max="30" width="13.42578125" style="2" customWidth="1"/>
    <col min="31" max="31" width="12.85546875" style="2" customWidth="1"/>
    <col min="32" max="16384" width="9.140625" style="2"/>
  </cols>
  <sheetData>
    <row r="1" spans="1:3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69"/>
      <c r="Q1" s="155"/>
      <c r="R1" s="155"/>
      <c r="S1" s="155"/>
      <c r="T1" s="303"/>
      <c r="U1" s="303"/>
      <c r="V1" s="69"/>
      <c r="W1" s="69"/>
      <c r="X1" s="69"/>
      <c r="Y1" s="69"/>
      <c r="Z1" s="69"/>
      <c r="AA1" s="69"/>
      <c r="AB1" s="661" t="s">
        <v>401</v>
      </c>
      <c r="AC1" s="662"/>
      <c r="AD1" s="662"/>
      <c r="AE1" s="662"/>
    </row>
    <row r="2" spans="1:31" ht="18.75" customHeight="1">
      <c r="A2" s="69"/>
      <c r="B2" s="256" t="s">
        <v>396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304"/>
      <c r="U2" s="304"/>
      <c r="V2" s="264"/>
      <c r="W2" s="264"/>
      <c r="X2" s="264"/>
      <c r="Y2" s="264"/>
      <c r="Z2" s="264"/>
      <c r="AA2" s="264"/>
      <c r="AB2" s="264"/>
      <c r="AC2" s="264"/>
      <c r="AD2" s="264"/>
      <c r="AE2" s="264"/>
    </row>
    <row r="3" spans="1:31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304"/>
      <c r="U3" s="304"/>
      <c r="V3" s="264"/>
      <c r="W3" s="264"/>
      <c r="X3" s="264"/>
      <c r="Y3" s="264"/>
      <c r="Z3" s="264"/>
      <c r="AA3" s="264"/>
      <c r="AB3" s="264"/>
      <c r="AC3" s="264"/>
      <c r="AD3" s="672" t="s">
        <v>372</v>
      </c>
      <c r="AE3" s="500"/>
    </row>
    <row r="4" spans="1:31" ht="41.25" customHeight="1">
      <c r="A4" s="483" t="s">
        <v>48</v>
      </c>
      <c r="B4" s="483" t="s">
        <v>147</v>
      </c>
      <c r="C4" s="634" t="s">
        <v>148</v>
      </c>
      <c r="D4" s="635"/>
      <c r="E4" s="635"/>
      <c r="F4" s="636"/>
      <c r="G4" s="634" t="s">
        <v>214</v>
      </c>
      <c r="H4" s="635"/>
      <c r="I4" s="635"/>
      <c r="J4" s="635"/>
      <c r="K4" s="635"/>
      <c r="L4" s="635"/>
      <c r="M4" s="636"/>
      <c r="N4" s="597" t="s">
        <v>149</v>
      </c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9"/>
      <c r="Z4" s="646" t="s">
        <v>306</v>
      </c>
      <c r="AA4" s="647"/>
      <c r="AB4" s="648"/>
      <c r="AC4" s="663" t="s">
        <v>307</v>
      </c>
      <c r="AD4" s="664"/>
      <c r="AE4" s="665"/>
    </row>
    <row r="5" spans="1:31" ht="48.75" customHeight="1">
      <c r="A5" s="484"/>
      <c r="B5" s="484"/>
      <c r="C5" s="637"/>
      <c r="D5" s="638"/>
      <c r="E5" s="638"/>
      <c r="F5" s="639"/>
      <c r="G5" s="637"/>
      <c r="H5" s="638"/>
      <c r="I5" s="638"/>
      <c r="J5" s="638"/>
      <c r="K5" s="638"/>
      <c r="L5" s="638"/>
      <c r="M5" s="639"/>
      <c r="N5" s="597"/>
      <c r="O5" s="598"/>
      <c r="P5" s="598"/>
      <c r="Q5" s="599"/>
      <c r="R5" s="597"/>
      <c r="S5" s="598"/>
      <c r="T5" s="598"/>
      <c r="U5" s="599"/>
      <c r="V5" s="597" t="s">
        <v>530</v>
      </c>
      <c r="W5" s="598"/>
      <c r="X5" s="598"/>
      <c r="Y5" s="599"/>
      <c r="Z5" s="649"/>
      <c r="AA5" s="649"/>
      <c r="AB5" s="650"/>
      <c r="AC5" s="669"/>
      <c r="AD5" s="670"/>
      <c r="AE5" s="671"/>
    </row>
    <row r="6" spans="1:31" ht="18" customHeight="1">
      <c r="A6" s="156">
        <v>1</v>
      </c>
      <c r="B6" s="157">
        <v>2</v>
      </c>
      <c r="C6" s="626">
        <v>3</v>
      </c>
      <c r="D6" s="627"/>
      <c r="E6" s="627"/>
      <c r="F6" s="628"/>
      <c r="G6" s="626">
        <v>4</v>
      </c>
      <c r="H6" s="627"/>
      <c r="I6" s="627"/>
      <c r="J6" s="627"/>
      <c r="K6" s="627"/>
      <c r="L6" s="627"/>
      <c r="M6" s="628"/>
      <c r="N6" s="623">
        <v>5</v>
      </c>
      <c r="O6" s="624"/>
      <c r="P6" s="624"/>
      <c r="Q6" s="625"/>
      <c r="R6" s="623">
        <v>6</v>
      </c>
      <c r="S6" s="624"/>
      <c r="T6" s="624"/>
      <c r="U6" s="625"/>
      <c r="V6" s="623">
        <v>7</v>
      </c>
      <c r="W6" s="624"/>
      <c r="X6" s="624"/>
      <c r="Y6" s="625"/>
      <c r="Z6" s="624">
        <v>8</v>
      </c>
      <c r="AA6" s="624"/>
      <c r="AB6" s="625"/>
      <c r="AC6" s="623">
        <v>9</v>
      </c>
      <c r="AD6" s="624"/>
      <c r="AE6" s="625"/>
    </row>
    <row r="7" spans="1:31" ht="42" customHeight="1">
      <c r="A7" s="156">
        <v>1</v>
      </c>
      <c r="B7" s="157" t="s">
        <v>662</v>
      </c>
      <c r="C7" s="626">
        <v>1995</v>
      </c>
      <c r="D7" s="627"/>
      <c r="E7" s="627"/>
      <c r="F7" s="628"/>
      <c r="G7" s="629" t="s">
        <v>409</v>
      </c>
      <c r="H7" s="630"/>
      <c r="I7" s="630"/>
      <c r="J7" s="630"/>
      <c r="K7" s="630"/>
      <c r="L7" s="630"/>
      <c r="M7" s="631"/>
      <c r="N7" s="629"/>
      <c r="O7" s="630"/>
      <c r="P7" s="630"/>
      <c r="Q7" s="631"/>
      <c r="R7" s="620"/>
      <c r="S7" s="621"/>
      <c r="T7" s="621"/>
      <c r="U7" s="622"/>
      <c r="V7" s="620"/>
      <c r="W7" s="621"/>
      <c r="X7" s="621"/>
      <c r="Y7" s="622"/>
      <c r="Z7" s="621" t="e">
        <f>(V7/R7)*100</f>
        <v>#DIV/0!</v>
      </c>
      <c r="AA7" s="621"/>
      <c r="AB7" s="622"/>
      <c r="AC7" s="620" t="e">
        <f>(V7/N7)*100</f>
        <v>#DIV/0!</v>
      </c>
      <c r="AD7" s="621"/>
      <c r="AE7" s="622"/>
    </row>
    <row r="8" spans="1:31" ht="49.5" customHeight="1">
      <c r="A8" s="156">
        <v>2</v>
      </c>
      <c r="B8" s="157" t="s">
        <v>663</v>
      </c>
      <c r="C8" s="626">
        <v>2002</v>
      </c>
      <c r="D8" s="627"/>
      <c r="E8" s="627"/>
      <c r="F8" s="628"/>
      <c r="G8" s="629" t="s">
        <v>409</v>
      </c>
      <c r="H8" s="630"/>
      <c r="I8" s="630"/>
      <c r="J8" s="630"/>
      <c r="K8" s="630"/>
      <c r="L8" s="630"/>
      <c r="M8" s="631"/>
      <c r="N8" s="629"/>
      <c r="O8" s="630"/>
      <c r="P8" s="630"/>
      <c r="Q8" s="631"/>
      <c r="R8" s="620"/>
      <c r="S8" s="621"/>
      <c r="T8" s="621"/>
      <c r="U8" s="622"/>
      <c r="V8" s="620">
        <v>63</v>
      </c>
      <c r="W8" s="621"/>
      <c r="X8" s="621"/>
      <c r="Y8" s="622"/>
      <c r="Z8" s="621" t="e">
        <f>(V8/R8)*100</f>
        <v>#DIV/0!</v>
      </c>
      <c r="AA8" s="621"/>
      <c r="AB8" s="622"/>
      <c r="AC8" s="620" t="e">
        <f>(V8/N8)*100</f>
        <v>#DIV/0!</v>
      </c>
      <c r="AD8" s="621"/>
      <c r="AE8" s="622"/>
    </row>
    <row r="9" spans="1:31" ht="45" customHeight="1">
      <c r="A9" s="156">
        <v>3</v>
      </c>
      <c r="B9" s="157" t="s">
        <v>664</v>
      </c>
      <c r="C9" s="626">
        <v>2007</v>
      </c>
      <c r="D9" s="627"/>
      <c r="E9" s="627"/>
      <c r="F9" s="628"/>
      <c r="G9" s="629" t="s">
        <v>409</v>
      </c>
      <c r="H9" s="630"/>
      <c r="I9" s="630"/>
      <c r="J9" s="630"/>
      <c r="K9" s="630"/>
      <c r="L9" s="630"/>
      <c r="M9" s="631"/>
      <c r="N9" s="629"/>
      <c r="O9" s="630"/>
      <c r="P9" s="630"/>
      <c r="Q9" s="631"/>
      <c r="R9" s="620"/>
      <c r="S9" s="621"/>
      <c r="T9" s="621"/>
      <c r="U9" s="622"/>
      <c r="V9" s="620">
        <v>60.8</v>
      </c>
      <c r="W9" s="621"/>
      <c r="X9" s="621"/>
      <c r="Y9" s="622"/>
      <c r="Z9" s="621" t="e">
        <f>(V9/R9)*100</f>
        <v>#DIV/0!</v>
      </c>
      <c r="AA9" s="621"/>
      <c r="AB9" s="622"/>
      <c r="AC9" s="620" t="e">
        <f>(V9/N9)*100</f>
        <v>#DIV/0!</v>
      </c>
      <c r="AD9" s="621"/>
      <c r="AE9" s="622"/>
    </row>
    <row r="10" spans="1:31" ht="20.100000000000001" customHeight="1">
      <c r="A10" s="156">
        <v>4</v>
      </c>
      <c r="B10" s="157" t="s">
        <v>665</v>
      </c>
      <c r="C10" s="626">
        <v>2011</v>
      </c>
      <c r="D10" s="627"/>
      <c r="E10" s="627"/>
      <c r="F10" s="628"/>
      <c r="G10" s="629" t="s">
        <v>409</v>
      </c>
      <c r="H10" s="630"/>
      <c r="I10" s="630"/>
      <c r="J10" s="630"/>
      <c r="K10" s="630"/>
      <c r="L10" s="630"/>
      <c r="M10" s="631"/>
      <c r="N10" s="629"/>
      <c r="O10" s="630"/>
      <c r="P10" s="630"/>
      <c r="Q10" s="631"/>
      <c r="R10" s="620"/>
      <c r="S10" s="621"/>
      <c r="T10" s="621"/>
      <c r="U10" s="622"/>
      <c r="V10" s="620">
        <v>79.099999999999994</v>
      </c>
      <c r="W10" s="621"/>
      <c r="X10" s="621"/>
      <c r="Y10" s="622"/>
      <c r="Z10" s="621" t="e">
        <f>(V10/R10)*100</f>
        <v>#DIV/0!</v>
      </c>
      <c r="AA10" s="621"/>
      <c r="AB10" s="622"/>
      <c r="AC10" s="620" t="e">
        <f>(V10/N10)*100</f>
        <v>#DIV/0!</v>
      </c>
      <c r="AD10" s="621"/>
      <c r="AE10" s="622"/>
    </row>
    <row r="11" spans="1:31" ht="20.100000000000001" customHeight="1">
      <c r="A11" s="641" t="s">
        <v>52</v>
      </c>
      <c r="B11" s="642"/>
      <c r="C11" s="642"/>
      <c r="D11" s="642"/>
      <c r="E11" s="642"/>
      <c r="F11" s="642"/>
      <c r="G11" s="642"/>
      <c r="H11" s="642"/>
      <c r="I11" s="642"/>
      <c r="J11" s="642"/>
      <c r="K11" s="642"/>
      <c r="L11" s="642"/>
      <c r="M11" s="643"/>
      <c r="N11" s="588">
        <f>SUM(N7:N10)</f>
        <v>0</v>
      </c>
      <c r="O11" s="632"/>
      <c r="P11" s="632"/>
      <c r="Q11" s="589"/>
      <c r="R11" s="612">
        <f>SUM(R7:R10)</f>
        <v>0</v>
      </c>
      <c r="S11" s="640"/>
      <c r="T11" s="640"/>
      <c r="U11" s="613"/>
      <c r="V11" s="612">
        <f>SUM(V7:V10)</f>
        <v>202.89999999999998</v>
      </c>
      <c r="W11" s="640"/>
      <c r="X11" s="640"/>
      <c r="Y11" s="613"/>
      <c r="Z11" s="618" t="e">
        <f>(V11/R11)*100</f>
        <v>#DIV/0!</v>
      </c>
      <c r="AA11" s="618"/>
      <c r="AB11" s="619"/>
      <c r="AC11" s="654" t="e">
        <f>(V11/N11)*100</f>
        <v>#DIV/0!</v>
      </c>
      <c r="AD11" s="618"/>
      <c r="AE11" s="619"/>
    </row>
    <row r="12" spans="1:31" ht="18.7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7"/>
      <c r="N12" s="127"/>
      <c r="O12" s="127"/>
      <c r="P12" s="127"/>
      <c r="Q12" s="158"/>
      <c r="R12" s="158"/>
      <c r="S12" s="158"/>
      <c r="T12" s="38"/>
      <c r="U12" s="38"/>
      <c r="V12" s="158"/>
      <c r="W12" s="159"/>
      <c r="X12" s="159"/>
      <c r="Y12" s="159"/>
      <c r="Z12" s="159"/>
      <c r="AA12" s="159"/>
      <c r="AB12" s="159"/>
      <c r="AC12" s="159"/>
      <c r="AD12" s="159"/>
      <c r="AE12" s="159"/>
    </row>
    <row r="13" spans="1:31" s="24" customFormat="1" ht="18.75" customHeight="1">
      <c r="A13" s="256"/>
      <c r="B13" s="256" t="s">
        <v>397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</row>
    <row r="14" spans="1:31" s="24" customFormat="1" ht="18.75" customHeight="1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V14" s="256"/>
      <c r="W14" s="256"/>
      <c r="X14" s="256"/>
      <c r="Y14" s="256"/>
      <c r="Z14" s="256"/>
      <c r="AA14" s="256"/>
      <c r="AB14" s="256"/>
      <c r="AC14" s="256"/>
      <c r="AD14" s="256" t="s">
        <v>372</v>
      </c>
      <c r="AE14" s="256"/>
    </row>
    <row r="15" spans="1:31" ht="39.75" customHeight="1">
      <c r="A15" s="548" t="s">
        <v>48</v>
      </c>
      <c r="B15" s="548" t="s">
        <v>150</v>
      </c>
      <c r="C15" s="584" t="s">
        <v>147</v>
      </c>
      <c r="D15" s="584"/>
      <c r="E15" s="584"/>
      <c r="F15" s="584"/>
      <c r="G15" s="634" t="s">
        <v>214</v>
      </c>
      <c r="H15" s="635"/>
      <c r="I15" s="635"/>
      <c r="J15" s="635"/>
      <c r="K15" s="635"/>
      <c r="L15" s="635"/>
      <c r="M15" s="636"/>
      <c r="N15" s="634" t="s">
        <v>151</v>
      </c>
      <c r="O15" s="635"/>
      <c r="P15" s="636"/>
      <c r="Q15" s="634" t="s">
        <v>149</v>
      </c>
      <c r="R15" s="635"/>
      <c r="S15" s="635"/>
      <c r="T15" s="635"/>
      <c r="U15" s="635"/>
      <c r="V15" s="635"/>
      <c r="W15" s="635"/>
      <c r="X15" s="635"/>
      <c r="Y15" s="636"/>
      <c r="Z15" s="663" t="s">
        <v>306</v>
      </c>
      <c r="AA15" s="664"/>
      <c r="AB15" s="665"/>
      <c r="AC15" s="663" t="s">
        <v>307</v>
      </c>
      <c r="AD15" s="664"/>
      <c r="AE15" s="665"/>
    </row>
    <row r="16" spans="1:31" ht="18.75" customHeight="1">
      <c r="A16" s="548"/>
      <c r="B16" s="548"/>
      <c r="C16" s="584"/>
      <c r="D16" s="584"/>
      <c r="E16" s="584"/>
      <c r="F16" s="584"/>
      <c r="G16" s="658"/>
      <c r="H16" s="659"/>
      <c r="I16" s="659"/>
      <c r="J16" s="659"/>
      <c r="K16" s="659"/>
      <c r="L16" s="659"/>
      <c r="M16" s="660"/>
      <c r="N16" s="658"/>
      <c r="O16" s="659"/>
      <c r="P16" s="660"/>
      <c r="Q16" s="584" t="s">
        <v>369</v>
      </c>
      <c r="R16" s="584"/>
      <c r="S16" s="584"/>
      <c r="T16" s="584" t="s">
        <v>370</v>
      </c>
      <c r="U16" s="584"/>
      <c r="V16" s="584"/>
      <c r="W16" s="584" t="s">
        <v>371</v>
      </c>
      <c r="X16" s="584"/>
      <c r="Y16" s="584"/>
      <c r="Z16" s="666"/>
      <c r="AA16" s="667"/>
      <c r="AB16" s="668"/>
      <c r="AC16" s="666"/>
      <c r="AD16" s="667"/>
      <c r="AE16" s="668"/>
    </row>
    <row r="17" spans="1:31" ht="42.75" customHeight="1">
      <c r="A17" s="548"/>
      <c r="B17" s="548"/>
      <c r="C17" s="584"/>
      <c r="D17" s="584"/>
      <c r="E17" s="584"/>
      <c r="F17" s="584"/>
      <c r="G17" s="637"/>
      <c r="H17" s="638"/>
      <c r="I17" s="638"/>
      <c r="J17" s="638"/>
      <c r="K17" s="638"/>
      <c r="L17" s="638"/>
      <c r="M17" s="639"/>
      <c r="N17" s="637"/>
      <c r="O17" s="638"/>
      <c r="P17" s="639"/>
      <c r="Q17" s="584"/>
      <c r="R17" s="584"/>
      <c r="S17" s="584"/>
      <c r="T17" s="584"/>
      <c r="U17" s="584"/>
      <c r="V17" s="584"/>
      <c r="W17" s="584"/>
      <c r="X17" s="584"/>
      <c r="Y17" s="584"/>
      <c r="Z17" s="669"/>
      <c r="AA17" s="670"/>
      <c r="AB17" s="671"/>
      <c r="AC17" s="669"/>
      <c r="AD17" s="670"/>
      <c r="AE17" s="671"/>
    </row>
    <row r="18" spans="1:31" ht="18" customHeight="1">
      <c r="A18" s="156">
        <v>1</v>
      </c>
      <c r="B18" s="156">
        <v>2</v>
      </c>
      <c r="C18" s="645">
        <v>3</v>
      </c>
      <c r="D18" s="645"/>
      <c r="E18" s="645"/>
      <c r="F18" s="645"/>
      <c r="G18" s="626">
        <v>4</v>
      </c>
      <c r="H18" s="627"/>
      <c r="I18" s="627"/>
      <c r="J18" s="627"/>
      <c r="K18" s="627"/>
      <c r="L18" s="627"/>
      <c r="M18" s="628"/>
      <c r="N18" s="626">
        <v>5</v>
      </c>
      <c r="O18" s="627"/>
      <c r="P18" s="628"/>
      <c r="Q18" s="626">
        <v>6</v>
      </c>
      <c r="R18" s="627"/>
      <c r="S18" s="628"/>
      <c r="T18" s="626">
        <v>7</v>
      </c>
      <c r="U18" s="627"/>
      <c r="V18" s="628"/>
      <c r="W18" s="626">
        <v>8</v>
      </c>
      <c r="X18" s="627"/>
      <c r="Y18" s="628"/>
      <c r="Z18" s="626">
        <v>9</v>
      </c>
      <c r="AA18" s="627"/>
      <c r="AB18" s="628"/>
      <c r="AC18" s="626">
        <v>10</v>
      </c>
      <c r="AD18" s="627"/>
      <c r="AE18" s="628"/>
    </row>
    <row r="19" spans="1:31" ht="20.100000000000001" customHeight="1">
      <c r="A19" s="160"/>
      <c r="B19" s="161"/>
      <c r="C19" s="644"/>
      <c r="D19" s="644"/>
      <c r="E19" s="644"/>
      <c r="F19" s="644"/>
      <c r="G19" s="629"/>
      <c r="H19" s="630"/>
      <c r="I19" s="630"/>
      <c r="J19" s="630"/>
      <c r="K19" s="630"/>
      <c r="L19" s="630"/>
      <c r="M19" s="631"/>
      <c r="N19" s="676"/>
      <c r="O19" s="677"/>
      <c r="P19" s="678"/>
      <c r="Q19" s="655"/>
      <c r="R19" s="656"/>
      <c r="S19" s="657"/>
      <c r="T19" s="655"/>
      <c r="U19" s="656"/>
      <c r="V19" s="657"/>
      <c r="W19" s="655"/>
      <c r="X19" s="656"/>
      <c r="Y19" s="657"/>
      <c r="Z19" s="621" t="e">
        <f>(W19/T19)*100</f>
        <v>#DIV/0!</v>
      </c>
      <c r="AA19" s="621"/>
      <c r="AB19" s="622"/>
      <c r="AC19" s="621" t="e">
        <f>(W19/Q19)*100</f>
        <v>#DIV/0!</v>
      </c>
      <c r="AD19" s="621"/>
      <c r="AE19" s="622"/>
    </row>
    <row r="20" spans="1:31" ht="20.100000000000001" customHeight="1">
      <c r="A20" s="160"/>
      <c r="B20" s="161"/>
      <c r="C20" s="644"/>
      <c r="D20" s="644"/>
      <c r="E20" s="644"/>
      <c r="F20" s="644"/>
      <c r="G20" s="629"/>
      <c r="H20" s="630"/>
      <c r="I20" s="630"/>
      <c r="J20" s="630"/>
      <c r="K20" s="630"/>
      <c r="L20" s="630"/>
      <c r="M20" s="631"/>
      <c r="N20" s="676"/>
      <c r="O20" s="677"/>
      <c r="P20" s="678"/>
      <c r="Q20" s="655"/>
      <c r="R20" s="656"/>
      <c r="S20" s="657"/>
      <c r="T20" s="655"/>
      <c r="U20" s="656"/>
      <c r="V20" s="657"/>
      <c r="W20" s="655"/>
      <c r="X20" s="656"/>
      <c r="Y20" s="657"/>
      <c r="Z20" s="621" t="e">
        <f>(W20/T20)*100</f>
        <v>#DIV/0!</v>
      </c>
      <c r="AA20" s="621"/>
      <c r="AB20" s="622"/>
      <c r="AC20" s="621" t="e">
        <f>(W20/Q20)*100</f>
        <v>#DIV/0!</v>
      </c>
      <c r="AD20" s="621"/>
      <c r="AE20" s="622"/>
    </row>
    <row r="21" spans="1:31" ht="20.100000000000001" customHeight="1">
      <c r="A21" s="160"/>
      <c r="B21" s="161"/>
      <c r="C21" s="644"/>
      <c r="D21" s="644"/>
      <c r="E21" s="644"/>
      <c r="F21" s="644"/>
      <c r="G21" s="629"/>
      <c r="H21" s="630"/>
      <c r="I21" s="630"/>
      <c r="J21" s="630"/>
      <c r="K21" s="630"/>
      <c r="L21" s="630"/>
      <c r="M21" s="631"/>
      <c r="N21" s="676"/>
      <c r="O21" s="677"/>
      <c r="P21" s="678"/>
      <c r="Q21" s="655"/>
      <c r="R21" s="656"/>
      <c r="S21" s="657"/>
      <c r="T21" s="655"/>
      <c r="U21" s="656"/>
      <c r="V21" s="657"/>
      <c r="W21" s="655"/>
      <c r="X21" s="656"/>
      <c r="Y21" s="657"/>
      <c r="Z21" s="621" t="e">
        <f>(W21/T21)*100</f>
        <v>#DIV/0!</v>
      </c>
      <c r="AA21" s="621"/>
      <c r="AB21" s="622"/>
      <c r="AC21" s="621" t="e">
        <f>(W21/Q21)*100</f>
        <v>#DIV/0!</v>
      </c>
      <c r="AD21" s="621"/>
      <c r="AE21" s="622"/>
    </row>
    <row r="22" spans="1:31" ht="20.100000000000001" customHeight="1">
      <c r="A22" s="160"/>
      <c r="B22" s="161"/>
      <c r="C22" s="644"/>
      <c r="D22" s="644"/>
      <c r="E22" s="644"/>
      <c r="F22" s="644"/>
      <c r="G22" s="629"/>
      <c r="H22" s="630"/>
      <c r="I22" s="630"/>
      <c r="J22" s="630"/>
      <c r="K22" s="630"/>
      <c r="L22" s="630"/>
      <c r="M22" s="631"/>
      <c r="N22" s="676"/>
      <c r="O22" s="677"/>
      <c r="P22" s="678"/>
      <c r="Q22" s="655"/>
      <c r="R22" s="656"/>
      <c r="S22" s="657"/>
      <c r="T22" s="655"/>
      <c r="U22" s="656"/>
      <c r="V22" s="657"/>
      <c r="W22" s="655"/>
      <c r="X22" s="656"/>
      <c r="Y22" s="657"/>
      <c r="Z22" s="621" t="e">
        <f>(W22/T22)*100</f>
        <v>#DIV/0!</v>
      </c>
      <c r="AA22" s="621"/>
      <c r="AB22" s="622"/>
      <c r="AC22" s="621" t="e">
        <f>(W22/Q22)*100</f>
        <v>#DIV/0!</v>
      </c>
      <c r="AD22" s="621"/>
      <c r="AE22" s="622"/>
    </row>
    <row r="23" spans="1:31" ht="20.100000000000001" customHeight="1">
      <c r="A23" s="641" t="s">
        <v>52</v>
      </c>
      <c r="B23" s="642"/>
      <c r="C23" s="642"/>
      <c r="D23" s="642"/>
      <c r="E23" s="642"/>
      <c r="F23" s="642"/>
      <c r="G23" s="642"/>
      <c r="H23" s="642"/>
      <c r="I23" s="642"/>
      <c r="J23" s="642"/>
      <c r="K23" s="642"/>
      <c r="L23" s="642"/>
      <c r="M23" s="643"/>
      <c r="N23" s="641"/>
      <c r="O23" s="642"/>
      <c r="P23" s="643"/>
      <c r="Q23" s="673">
        <f>SUM(Q19:Q22)</f>
        <v>0</v>
      </c>
      <c r="R23" s="674"/>
      <c r="S23" s="675"/>
      <c r="T23" s="673">
        <f>SUM(T19:T22)</f>
        <v>0</v>
      </c>
      <c r="U23" s="674"/>
      <c r="V23" s="675"/>
      <c r="W23" s="673">
        <f>SUM(W19:W22)</f>
        <v>0</v>
      </c>
      <c r="X23" s="674"/>
      <c r="Y23" s="675"/>
      <c r="Z23" s="618" t="e">
        <f>(W23/T23)*100</f>
        <v>#DIV/0!</v>
      </c>
      <c r="AA23" s="618"/>
      <c r="AB23" s="619"/>
      <c r="AC23" s="618" t="e">
        <f>(W23/Q23)*100</f>
        <v>#DIV/0!</v>
      </c>
      <c r="AD23" s="618"/>
      <c r="AE23" s="619"/>
    </row>
    <row r="24" spans="1:31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69"/>
      <c r="Q24" s="155"/>
      <c r="R24" s="155"/>
      <c r="S24" s="155"/>
      <c r="T24" s="303"/>
      <c r="U24" s="303"/>
      <c r="V24" s="69"/>
      <c r="W24" s="69"/>
      <c r="X24" s="69"/>
      <c r="Y24" s="69"/>
      <c r="Z24" s="69"/>
      <c r="AA24" s="69"/>
      <c r="AB24" s="69"/>
      <c r="AC24" s="69"/>
      <c r="AD24" s="69"/>
      <c r="AE24" s="155"/>
    </row>
    <row r="25" spans="1:31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69"/>
      <c r="Q25" s="155"/>
      <c r="R25" s="155"/>
      <c r="S25" s="155"/>
      <c r="T25" s="303"/>
      <c r="U25" s="303"/>
      <c r="V25" s="69"/>
      <c r="W25" s="69"/>
      <c r="X25" s="69"/>
      <c r="Y25" s="69"/>
      <c r="Z25" s="69"/>
      <c r="AA25" s="69"/>
      <c r="AB25" s="69"/>
      <c r="AC25" s="69"/>
      <c r="AD25" s="69"/>
      <c r="AE25" s="155"/>
    </row>
    <row r="26" spans="1:31" s="24" customFormat="1" ht="18.75" customHeight="1">
      <c r="A26" s="256"/>
      <c r="B26" s="256" t="s">
        <v>398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</row>
    <row r="27" spans="1:31">
      <c r="A27" s="70"/>
      <c r="B27" s="70"/>
      <c r="C27" s="70"/>
      <c r="D27" s="70"/>
      <c r="E27" s="70"/>
      <c r="F27" s="70"/>
      <c r="G27" s="7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305"/>
      <c r="U27" s="305"/>
      <c r="V27" s="70"/>
      <c r="W27" s="69"/>
      <c r="X27" s="69"/>
      <c r="Y27" s="69"/>
      <c r="Z27" s="69"/>
      <c r="AA27" s="69"/>
      <c r="AB27" s="69"/>
      <c r="AC27" s="69"/>
      <c r="AD27" s="69"/>
      <c r="AE27" s="162" t="s">
        <v>357</v>
      </c>
    </row>
    <row r="28" spans="1:31" ht="30" customHeight="1">
      <c r="A28" s="584" t="s">
        <v>48</v>
      </c>
      <c r="B28" s="584" t="s">
        <v>170</v>
      </c>
      <c r="C28" s="584"/>
      <c r="D28" s="584"/>
      <c r="E28" s="584"/>
      <c r="F28" s="584"/>
      <c r="G28" s="584" t="s">
        <v>51</v>
      </c>
      <c r="H28" s="584"/>
      <c r="I28" s="584"/>
      <c r="J28" s="584"/>
      <c r="K28" s="584"/>
      <c r="L28" s="584" t="s">
        <v>535</v>
      </c>
      <c r="M28" s="584"/>
      <c r="N28" s="584"/>
      <c r="O28" s="584"/>
      <c r="P28" s="584"/>
      <c r="Q28" s="584" t="s">
        <v>194</v>
      </c>
      <c r="R28" s="584"/>
      <c r="S28" s="584"/>
      <c r="T28" s="584"/>
      <c r="U28" s="584"/>
      <c r="V28" s="508" t="s">
        <v>534</v>
      </c>
      <c r="W28" s="508"/>
      <c r="X28" s="508"/>
      <c r="Y28" s="508"/>
      <c r="Z28" s="508"/>
      <c r="AA28" s="584" t="s">
        <v>52</v>
      </c>
      <c r="AB28" s="584"/>
      <c r="AC28" s="584"/>
      <c r="AD28" s="584"/>
      <c r="AE28" s="584"/>
    </row>
    <row r="29" spans="1:31" ht="30" customHeight="1">
      <c r="A29" s="584"/>
      <c r="B29" s="584"/>
      <c r="C29" s="584"/>
      <c r="D29" s="584"/>
      <c r="E29" s="584"/>
      <c r="F29" s="584"/>
      <c r="G29" s="584" t="s">
        <v>524</v>
      </c>
      <c r="H29" s="584" t="s">
        <v>87</v>
      </c>
      <c r="I29" s="584"/>
      <c r="J29" s="584"/>
      <c r="K29" s="584"/>
      <c r="L29" s="584" t="s">
        <v>524</v>
      </c>
      <c r="M29" s="584" t="s">
        <v>87</v>
      </c>
      <c r="N29" s="584"/>
      <c r="O29" s="584"/>
      <c r="P29" s="584"/>
      <c r="Q29" s="584" t="s">
        <v>524</v>
      </c>
      <c r="R29" s="584" t="s">
        <v>87</v>
      </c>
      <c r="S29" s="584"/>
      <c r="T29" s="584"/>
      <c r="U29" s="584"/>
      <c r="V29" s="584" t="s">
        <v>523</v>
      </c>
      <c r="W29" s="584" t="s">
        <v>87</v>
      </c>
      <c r="X29" s="584"/>
      <c r="Y29" s="584"/>
      <c r="Z29" s="584"/>
      <c r="AA29" s="584" t="s">
        <v>523</v>
      </c>
      <c r="AB29" s="584" t="s">
        <v>87</v>
      </c>
      <c r="AC29" s="584"/>
      <c r="AD29" s="584"/>
      <c r="AE29" s="584"/>
    </row>
    <row r="30" spans="1:31" ht="39.950000000000003" customHeight="1">
      <c r="A30" s="584"/>
      <c r="B30" s="584"/>
      <c r="C30" s="584"/>
      <c r="D30" s="584"/>
      <c r="E30" s="584"/>
      <c r="F30" s="584"/>
      <c r="G30" s="584"/>
      <c r="H30" s="260" t="s">
        <v>70</v>
      </c>
      <c r="I30" s="260" t="s">
        <v>71</v>
      </c>
      <c r="J30" s="260" t="s">
        <v>69</v>
      </c>
      <c r="K30" s="260" t="s">
        <v>68</v>
      </c>
      <c r="L30" s="584"/>
      <c r="M30" s="260" t="s">
        <v>70</v>
      </c>
      <c r="N30" s="260" t="s">
        <v>71</v>
      </c>
      <c r="O30" s="260" t="s">
        <v>69</v>
      </c>
      <c r="P30" s="260" t="s">
        <v>68</v>
      </c>
      <c r="Q30" s="584"/>
      <c r="R30" s="260" t="s">
        <v>70</v>
      </c>
      <c r="S30" s="260" t="s">
        <v>71</v>
      </c>
      <c r="T30" s="302" t="s">
        <v>69</v>
      </c>
      <c r="U30" s="302" t="s">
        <v>68</v>
      </c>
      <c r="V30" s="584"/>
      <c r="W30" s="260" t="s">
        <v>70</v>
      </c>
      <c r="X30" s="260" t="s">
        <v>71</v>
      </c>
      <c r="Y30" s="260" t="s">
        <v>69</v>
      </c>
      <c r="Z30" s="260" t="s">
        <v>68</v>
      </c>
      <c r="AA30" s="584"/>
      <c r="AB30" s="260" t="s">
        <v>70</v>
      </c>
      <c r="AC30" s="260" t="s">
        <v>71</v>
      </c>
      <c r="AD30" s="260" t="s">
        <v>69</v>
      </c>
      <c r="AE30" s="260" t="s">
        <v>68</v>
      </c>
    </row>
    <row r="31" spans="1:31" ht="18" customHeight="1">
      <c r="A31" s="260">
        <v>1</v>
      </c>
      <c r="B31" s="584">
        <v>2</v>
      </c>
      <c r="C31" s="584"/>
      <c r="D31" s="584"/>
      <c r="E31" s="584"/>
      <c r="F31" s="584"/>
      <c r="G31" s="260">
        <v>3</v>
      </c>
      <c r="H31" s="260">
        <v>4</v>
      </c>
      <c r="I31" s="260">
        <v>5</v>
      </c>
      <c r="J31" s="260">
        <v>6</v>
      </c>
      <c r="K31" s="260">
        <v>7</v>
      </c>
      <c r="L31" s="260">
        <v>8</v>
      </c>
      <c r="M31" s="260">
        <v>9</v>
      </c>
      <c r="N31" s="260">
        <v>10</v>
      </c>
      <c r="O31" s="260">
        <v>11</v>
      </c>
      <c r="P31" s="260">
        <v>12</v>
      </c>
      <c r="Q31" s="260">
        <v>13</v>
      </c>
      <c r="R31" s="260">
        <v>14</v>
      </c>
      <c r="S31" s="260">
        <v>15</v>
      </c>
      <c r="T31" s="302">
        <v>16</v>
      </c>
      <c r="U31" s="302">
        <v>17</v>
      </c>
      <c r="V31" s="259">
        <v>18</v>
      </c>
      <c r="W31" s="259">
        <v>19</v>
      </c>
      <c r="X31" s="259">
        <v>20</v>
      </c>
      <c r="Y31" s="259">
        <v>21</v>
      </c>
      <c r="Z31" s="259">
        <v>22</v>
      </c>
      <c r="AA31" s="259">
        <v>23</v>
      </c>
      <c r="AB31" s="259">
        <v>24</v>
      </c>
      <c r="AC31" s="259">
        <v>25</v>
      </c>
      <c r="AD31" s="259">
        <v>26</v>
      </c>
      <c r="AE31" s="259">
        <v>27</v>
      </c>
    </row>
    <row r="32" spans="1:31" ht="18" customHeight="1">
      <c r="A32" s="651" t="s">
        <v>525</v>
      </c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2"/>
      <c r="Y32" s="652"/>
      <c r="Z32" s="652"/>
      <c r="AA32" s="652"/>
      <c r="AB32" s="652"/>
      <c r="AC32" s="652"/>
      <c r="AD32" s="652"/>
      <c r="AE32" s="653"/>
    </row>
    <row r="33" spans="1:32" ht="33" customHeight="1">
      <c r="A33" s="260">
        <v>1</v>
      </c>
      <c r="B33" s="581" t="s">
        <v>653</v>
      </c>
      <c r="C33" s="582"/>
      <c r="D33" s="582"/>
      <c r="E33" s="582"/>
      <c r="F33" s="583"/>
      <c r="G33" s="260"/>
      <c r="H33" s="260"/>
      <c r="I33" s="260"/>
      <c r="J33" s="260"/>
      <c r="K33" s="260"/>
      <c r="L33" s="224">
        <f>SUM(M33,N33,O33,P33)</f>
        <v>1342.3000000000002</v>
      </c>
      <c r="M33" s="260">
        <v>41.4</v>
      </c>
      <c r="N33" s="163"/>
      <c r="O33" s="163"/>
      <c r="P33" s="260">
        <v>1300.9000000000001</v>
      </c>
      <c r="Q33" s="259">
        <f>SUM(R33:U33)</f>
        <v>4.9000000000000004</v>
      </c>
      <c r="R33" s="259"/>
      <c r="S33" s="260"/>
      <c r="T33" s="302"/>
      <c r="U33" s="302">
        <v>4.9000000000000004</v>
      </c>
      <c r="V33" s="259">
        <f>SUM(W33:Z33)</f>
        <v>0</v>
      </c>
      <c r="W33" s="259"/>
      <c r="X33" s="259"/>
      <c r="Y33" s="259"/>
      <c r="Z33" s="259"/>
      <c r="AA33" s="216">
        <f>SUM(AB33,AC33,AD33,AE33)</f>
        <v>1347.2000000000003</v>
      </c>
      <c r="AB33" s="216">
        <f t="shared" ref="AB33:AE35" si="0">SUM(H33,M33,R33,W33)</f>
        <v>41.4</v>
      </c>
      <c r="AC33" s="216">
        <f t="shared" si="0"/>
        <v>0</v>
      </c>
      <c r="AD33" s="216">
        <f t="shared" si="0"/>
        <v>0</v>
      </c>
      <c r="AE33" s="216">
        <f t="shared" si="0"/>
        <v>1305.8000000000002</v>
      </c>
    </row>
    <row r="34" spans="1:32" ht="41.25" customHeight="1">
      <c r="A34" s="260">
        <v>2</v>
      </c>
      <c r="B34" s="572" t="s">
        <v>660</v>
      </c>
      <c r="C34" s="572"/>
      <c r="D34" s="572"/>
      <c r="E34" s="572"/>
      <c r="F34" s="572"/>
      <c r="G34" s="260"/>
      <c r="H34" s="260"/>
      <c r="I34" s="260"/>
      <c r="J34" s="260"/>
      <c r="K34" s="260"/>
      <c r="L34" s="224">
        <f>SUM(M34,N34,O34,P34)</f>
        <v>1036.5</v>
      </c>
      <c r="M34" s="260">
        <v>880</v>
      </c>
      <c r="N34" s="163">
        <v>156.5</v>
      </c>
      <c r="O34" s="163"/>
      <c r="P34" s="260"/>
      <c r="Q34" s="259">
        <f>SUM(R34:U34)</f>
        <v>0.6</v>
      </c>
      <c r="R34" s="259"/>
      <c r="S34" s="260">
        <v>0.6</v>
      </c>
      <c r="T34" s="302"/>
      <c r="U34" s="302"/>
      <c r="V34" s="259"/>
      <c r="W34" s="259"/>
      <c r="X34" s="259"/>
      <c r="Y34" s="259"/>
      <c r="Z34" s="259"/>
      <c r="AA34" s="216">
        <f>SUM(AB34,AC34,AD34,AE34)</f>
        <v>1037.0999999999999</v>
      </c>
      <c r="AB34" s="216">
        <f t="shared" si="0"/>
        <v>880</v>
      </c>
      <c r="AC34" s="216">
        <f t="shared" si="0"/>
        <v>157.1</v>
      </c>
      <c r="AD34" s="216">
        <f t="shared" si="0"/>
        <v>0</v>
      </c>
      <c r="AE34" s="216">
        <f t="shared" si="0"/>
        <v>0</v>
      </c>
    </row>
    <row r="35" spans="1:32" ht="59.25" customHeight="1">
      <c r="A35" s="260">
        <v>3</v>
      </c>
      <c r="B35" s="633" t="s">
        <v>661</v>
      </c>
      <c r="C35" s="633"/>
      <c r="D35" s="633"/>
      <c r="E35" s="633"/>
      <c r="F35" s="633"/>
      <c r="G35" s="260"/>
      <c r="H35" s="260"/>
      <c r="I35" s="260"/>
      <c r="J35" s="260"/>
      <c r="K35" s="260"/>
      <c r="L35" s="224">
        <f>SUM(M35,N35,O35,P35)</f>
        <v>2000</v>
      </c>
      <c r="M35" s="260">
        <v>64</v>
      </c>
      <c r="N35" s="163"/>
      <c r="O35" s="163">
        <v>584.20000000000005</v>
      </c>
      <c r="P35" s="260">
        <v>1351.8</v>
      </c>
      <c r="Q35" s="259">
        <f>SUM(R35:U35)</f>
        <v>0</v>
      </c>
      <c r="R35" s="259"/>
      <c r="S35" s="260"/>
      <c r="T35" s="302"/>
      <c r="U35" s="302"/>
      <c r="V35" s="259"/>
      <c r="W35" s="259"/>
      <c r="X35" s="259"/>
      <c r="Y35" s="259"/>
      <c r="Z35" s="259"/>
      <c r="AA35" s="216">
        <f>SUM(AB35,AC35,AD35,AE35)</f>
        <v>2000</v>
      </c>
      <c r="AB35" s="216">
        <f t="shared" si="0"/>
        <v>64</v>
      </c>
      <c r="AC35" s="216">
        <f t="shared" si="0"/>
        <v>0</v>
      </c>
      <c r="AD35" s="216">
        <f t="shared" si="0"/>
        <v>584.20000000000005</v>
      </c>
      <c r="AE35" s="216">
        <f t="shared" si="0"/>
        <v>1351.8</v>
      </c>
    </row>
    <row r="36" spans="1:32" ht="18" customHeight="1">
      <c r="A36" s="260"/>
      <c r="B36" s="651" t="s">
        <v>502</v>
      </c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  <c r="Q36" s="652"/>
      <c r="R36" s="652"/>
      <c r="S36" s="652"/>
      <c r="T36" s="652"/>
      <c r="U36" s="652"/>
      <c r="V36" s="652"/>
      <c r="W36" s="652"/>
      <c r="X36" s="652"/>
      <c r="Y36" s="652"/>
      <c r="Z36" s="652"/>
      <c r="AA36" s="652"/>
      <c r="AB36" s="652"/>
      <c r="AC36" s="652"/>
      <c r="AD36" s="652"/>
      <c r="AE36" s="653"/>
    </row>
    <row r="37" spans="1:32" ht="31.5" customHeight="1">
      <c r="A37" s="213">
        <v>4</v>
      </c>
      <c r="B37" s="679" t="s">
        <v>630</v>
      </c>
      <c r="C37" s="680"/>
      <c r="D37" s="680"/>
      <c r="E37" s="680"/>
      <c r="F37" s="681"/>
      <c r="G37" s="214">
        <f>SUM(H37,I37,J37,K37)</f>
        <v>0</v>
      </c>
      <c r="H37" s="214"/>
      <c r="I37" s="214"/>
      <c r="J37" s="214"/>
      <c r="K37" s="214"/>
      <c r="L37" s="224">
        <f>SUM(M37,N37,O37,P37)</f>
        <v>0</v>
      </c>
      <c r="M37" s="214"/>
      <c r="N37" s="214"/>
      <c r="O37" s="224"/>
      <c r="P37" s="214"/>
      <c r="Q37" s="267">
        <f>SUM(R37,S37,T37,U37)</f>
        <v>11.2</v>
      </c>
      <c r="R37" s="267">
        <v>11.2</v>
      </c>
      <c r="S37" s="267"/>
      <c r="T37" s="306"/>
      <c r="U37" s="306"/>
      <c r="V37" s="215">
        <f>SUM(W37,X37,Y37,Z37)</f>
        <v>0</v>
      </c>
      <c r="W37" s="215"/>
      <c r="X37" s="215"/>
      <c r="Y37" s="215"/>
      <c r="Z37" s="215"/>
      <c r="AA37" s="216">
        <f>SUM(AB37,AC37,AD37,AE37)</f>
        <v>11.2</v>
      </c>
      <c r="AB37" s="215">
        <f t="shared" ref="AB37:AE41" si="1">SUM(H37,M37,R37,W37)</f>
        <v>11.2</v>
      </c>
      <c r="AC37" s="215">
        <f t="shared" si="1"/>
        <v>0</v>
      </c>
      <c r="AD37" s="215">
        <f t="shared" si="1"/>
        <v>0</v>
      </c>
      <c r="AE37" s="215">
        <f t="shared" si="1"/>
        <v>0</v>
      </c>
      <c r="AF37" s="211"/>
    </row>
    <row r="38" spans="1:32" ht="30" customHeight="1">
      <c r="A38" s="213">
        <v>5</v>
      </c>
      <c r="B38" s="679" t="s">
        <v>631</v>
      </c>
      <c r="C38" s="680"/>
      <c r="D38" s="680"/>
      <c r="E38" s="680"/>
      <c r="F38" s="681"/>
      <c r="G38" s="214"/>
      <c r="H38" s="214"/>
      <c r="I38" s="214"/>
      <c r="J38" s="214"/>
      <c r="K38" s="214"/>
      <c r="L38" s="224">
        <f>SUM(M38,N38,O38,P38)</f>
        <v>935.2</v>
      </c>
      <c r="M38" s="214"/>
      <c r="N38" s="224">
        <v>935.2</v>
      </c>
      <c r="O38" s="214"/>
      <c r="P38" s="214"/>
      <c r="Q38" s="267">
        <f>SUM(R38,S38,T38,U38)</f>
        <v>0</v>
      </c>
      <c r="R38" s="267"/>
      <c r="S38" s="267"/>
      <c r="T38" s="306"/>
      <c r="U38" s="306"/>
      <c r="V38" s="215">
        <f>SUM(W38,X38,Y38,Z38)</f>
        <v>0</v>
      </c>
      <c r="W38" s="215"/>
      <c r="X38" s="215"/>
      <c r="Y38" s="215"/>
      <c r="Z38" s="215"/>
      <c r="AA38" s="216">
        <f>SUM(AB38,AC38,AD38,AE38)</f>
        <v>935.2</v>
      </c>
      <c r="AB38" s="215">
        <f t="shared" si="1"/>
        <v>0</v>
      </c>
      <c r="AC38" s="215">
        <f t="shared" si="1"/>
        <v>935.2</v>
      </c>
      <c r="AD38" s="215">
        <f t="shared" si="1"/>
        <v>0</v>
      </c>
      <c r="AE38" s="215">
        <f t="shared" si="1"/>
        <v>0</v>
      </c>
      <c r="AF38" s="211"/>
    </row>
    <row r="39" spans="1:32" ht="30" customHeight="1">
      <c r="A39" s="213">
        <v>6</v>
      </c>
      <c r="B39" s="679" t="s">
        <v>632</v>
      </c>
      <c r="C39" s="680"/>
      <c r="D39" s="680"/>
      <c r="E39" s="680"/>
      <c r="F39" s="681"/>
      <c r="G39" s="214"/>
      <c r="H39" s="214"/>
      <c r="I39" s="214"/>
      <c r="J39" s="214"/>
      <c r="K39" s="214"/>
      <c r="L39" s="224">
        <f>SUM(M39,N39,O39,P39)</f>
        <v>20.6</v>
      </c>
      <c r="M39" s="214"/>
      <c r="N39" s="224"/>
      <c r="O39" s="267">
        <v>20.6</v>
      </c>
      <c r="P39" s="214"/>
      <c r="Q39" s="267">
        <f>SUM(R39,S39,T39,U39)</f>
        <v>0</v>
      </c>
      <c r="R39" s="267"/>
      <c r="S39" s="267"/>
      <c r="T39" s="306"/>
      <c r="U39" s="306"/>
      <c r="V39" s="215">
        <f>SUM(W39,X39,Y39,Z39)</f>
        <v>0</v>
      </c>
      <c r="W39" s="215"/>
      <c r="X39" s="215"/>
      <c r="Y39" s="215"/>
      <c r="Z39" s="215"/>
      <c r="AA39" s="216">
        <f>SUM(AB39,AC39,AD39,AE39)</f>
        <v>20.6</v>
      </c>
      <c r="AB39" s="215">
        <f t="shared" si="1"/>
        <v>0</v>
      </c>
      <c r="AC39" s="215">
        <f t="shared" si="1"/>
        <v>0</v>
      </c>
      <c r="AD39" s="215">
        <f t="shared" si="1"/>
        <v>20.6</v>
      </c>
      <c r="AE39" s="215">
        <f t="shared" si="1"/>
        <v>0</v>
      </c>
      <c r="AF39" s="211"/>
    </row>
    <row r="40" spans="1:32" ht="30" customHeight="1">
      <c r="A40" s="213">
        <v>7</v>
      </c>
      <c r="B40" s="679" t="s">
        <v>633</v>
      </c>
      <c r="C40" s="680"/>
      <c r="D40" s="680"/>
      <c r="E40" s="680"/>
      <c r="F40" s="681"/>
      <c r="G40" s="214"/>
      <c r="H40" s="214"/>
      <c r="I40" s="214"/>
      <c r="J40" s="214"/>
      <c r="K40" s="214"/>
      <c r="L40" s="224">
        <f>SUM(M40,N40,O40,P40)</f>
        <v>0</v>
      </c>
      <c r="M40" s="214"/>
      <c r="N40" s="224"/>
      <c r="O40" s="214"/>
      <c r="P40" s="214"/>
      <c r="Q40" s="267">
        <f>SUM(R40,S40,T40,U40)</f>
        <v>6.5</v>
      </c>
      <c r="R40" s="267"/>
      <c r="S40" s="267"/>
      <c r="T40" s="306"/>
      <c r="U40" s="306">
        <v>6.5</v>
      </c>
      <c r="V40" s="215"/>
      <c r="W40" s="215"/>
      <c r="X40" s="215"/>
      <c r="Y40" s="215"/>
      <c r="Z40" s="215"/>
      <c r="AA40" s="216">
        <f>SUM(AB40,AC40,AD40,AE40)</f>
        <v>6.5</v>
      </c>
      <c r="AB40" s="215">
        <f t="shared" si="1"/>
        <v>0</v>
      </c>
      <c r="AC40" s="215">
        <f t="shared" si="1"/>
        <v>0</v>
      </c>
      <c r="AD40" s="215">
        <f t="shared" si="1"/>
        <v>0</v>
      </c>
      <c r="AE40" s="215">
        <f t="shared" si="1"/>
        <v>6.5</v>
      </c>
      <c r="AF40" s="211"/>
    </row>
    <row r="41" spans="1:32" ht="30" customHeight="1">
      <c r="A41" s="213"/>
      <c r="B41" s="685" t="s">
        <v>503</v>
      </c>
      <c r="C41" s="686"/>
      <c r="D41" s="686"/>
      <c r="E41" s="686"/>
      <c r="F41" s="687"/>
      <c r="G41" s="214"/>
      <c r="H41" s="214"/>
      <c r="I41" s="214"/>
      <c r="J41" s="214"/>
      <c r="K41" s="214"/>
      <c r="L41" s="225">
        <f>SUM(M41,N41,O41,P41)</f>
        <v>955.80000000000007</v>
      </c>
      <c r="M41" s="224">
        <f>M37+M38+M39+M40</f>
        <v>0</v>
      </c>
      <c r="N41" s="224">
        <f t="shared" ref="N41:P41" si="2">N37+N38+N39+N40</f>
        <v>935.2</v>
      </c>
      <c r="O41" s="224">
        <f t="shared" si="2"/>
        <v>20.6</v>
      </c>
      <c r="P41" s="224">
        <f t="shared" si="2"/>
        <v>0</v>
      </c>
      <c r="Q41" s="215">
        <f>SUM(Q37:Q39)</f>
        <v>11.2</v>
      </c>
      <c r="R41" s="215">
        <f>SUM(R37:R39)</f>
        <v>11.2</v>
      </c>
      <c r="S41" s="215">
        <f>SUM(S37:S39)</f>
        <v>0</v>
      </c>
      <c r="T41" s="307">
        <f>SUM(T37:T39)</f>
        <v>0</v>
      </c>
      <c r="U41" s="307">
        <f>SUM(U37:U40)</f>
        <v>6.5</v>
      </c>
      <c r="V41" s="215">
        <f>SUM(V37:V39)</f>
        <v>0</v>
      </c>
      <c r="W41" s="215">
        <f>SUM(W37:W39)</f>
        <v>0</v>
      </c>
      <c r="X41" s="215">
        <f>SUM(X37:X39)</f>
        <v>0</v>
      </c>
      <c r="Y41" s="215">
        <f>SUM(Y37:Y39)</f>
        <v>0</v>
      </c>
      <c r="Z41" s="215"/>
      <c r="AA41" s="216">
        <f>SUM(AB41,AC41,AD41,AE41)</f>
        <v>973.50000000000011</v>
      </c>
      <c r="AB41" s="216">
        <f t="shared" si="1"/>
        <v>11.2</v>
      </c>
      <c r="AC41" s="216">
        <f t="shared" si="1"/>
        <v>935.2</v>
      </c>
      <c r="AD41" s="216">
        <f t="shared" si="1"/>
        <v>20.6</v>
      </c>
      <c r="AE41" s="216">
        <f t="shared" si="1"/>
        <v>6.5</v>
      </c>
      <c r="AF41" s="211"/>
    </row>
    <row r="42" spans="1:32" ht="30" customHeight="1">
      <c r="A42" s="213"/>
      <c r="B42" s="685" t="s">
        <v>526</v>
      </c>
      <c r="C42" s="686"/>
      <c r="D42" s="686"/>
      <c r="E42" s="686"/>
      <c r="F42" s="687"/>
      <c r="G42" s="214"/>
      <c r="H42" s="214"/>
      <c r="I42" s="214"/>
      <c r="J42" s="214"/>
      <c r="K42" s="214"/>
      <c r="L42" s="224">
        <f>L33+L41</f>
        <v>2298.1000000000004</v>
      </c>
      <c r="M42" s="224">
        <f>M33+M41+M34+M35</f>
        <v>985.4</v>
      </c>
      <c r="N42" s="224">
        <f t="shared" ref="N42:P42" si="3">N33+N41+N34+N35</f>
        <v>1091.7</v>
      </c>
      <c r="O42" s="224">
        <f t="shared" si="3"/>
        <v>604.80000000000007</v>
      </c>
      <c r="P42" s="224">
        <f t="shared" si="3"/>
        <v>2652.7</v>
      </c>
      <c r="Q42" s="215">
        <f>SUM(Q33+Q41)+Q34+Q35</f>
        <v>16.700000000000003</v>
      </c>
      <c r="R42" s="215">
        <f>SUM(R33+R41)+R34+R35</f>
        <v>11.2</v>
      </c>
      <c r="S42" s="215">
        <f>SUM(S33+S41)+S34+S35</f>
        <v>0.6</v>
      </c>
      <c r="T42" s="307">
        <f>SUM(T33+T41)+T34+T35</f>
        <v>0</v>
      </c>
      <c r="U42" s="307">
        <f>SUM(U33+U41)+U34+U35</f>
        <v>11.4</v>
      </c>
      <c r="V42" s="215">
        <f>SUM(V33+V41)</f>
        <v>0</v>
      </c>
      <c r="W42" s="215">
        <f>SUM(W33+W41)</f>
        <v>0</v>
      </c>
      <c r="X42" s="215">
        <f>SUM(X33+X41)</f>
        <v>0</v>
      </c>
      <c r="Y42" s="215">
        <f>SUM(Y33+Y41)</f>
        <v>0</v>
      </c>
      <c r="Z42" s="215">
        <f>SUM(Z33+Z41)</f>
        <v>0</v>
      </c>
      <c r="AA42" s="216">
        <f>AA33+AA41</f>
        <v>2320.7000000000003</v>
      </c>
      <c r="AB42" s="216">
        <f>AB33+AB41+AB34+AB35</f>
        <v>996.6</v>
      </c>
      <c r="AC42" s="216">
        <f>AC33+AC41+AC34+AC35</f>
        <v>1092.3</v>
      </c>
      <c r="AD42" s="216">
        <f>AD33+AD41+AD34+AD35</f>
        <v>604.80000000000007</v>
      </c>
      <c r="AE42" s="216">
        <f>AE33+AE41+AE34+AE35</f>
        <v>2664.1000000000004</v>
      </c>
      <c r="AF42" s="211"/>
    </row>
    <row r="43" spans="1:32" ht="20.25" customHeight="1">
      <c r="A43" s="688" t="s">
        <v>506</v>
      </c>
      <c r="B43" s="689"/>
      <c r="C43" s="689"/>
      <c r="D43" s="689"/>
      <c r="E43" s="689"/>
      <c r="F43" s="689"/>
      <c r="G43" s="689"/>
      <c r="H43" s="689"/>
      <c r="I43" s="689"/>
      <c r="J43" s="689"/>
      <c r="K43" s="689"/>
      <c r="L43" s="689"/>
      <c r="M43" s="689"/>
      <c r="N43" s="689"/>
      <c r="O43" s="689"/>
      <c r="P43" s="689"/>
      <c r="Q43" s="689"/>
      <c r="R43" s="689"/>
      <c r="S43" s="689"/>
      <c r="T43" s="689"/>
      <c r="U43" s="689"/>
      <c r="V43" s="689"/>
      <c r="W43" s="689"/>
      <c r="X43" s="689"/>
      <c r="Y43" s="689"/>
      <c r="Z43" s="689"/>
      <c r="AA43" s="689"/>
      <c r="AB43" s="689"/>
      <c r="AC43" s="689"/>
      <c r="AD43" s="689"/>
      <c r="AE43" s="690"/>
      <c r="AF43" s="211"/>
    </row>
    <row r="44" spans="1:32" ht="30" customHeight="1">
      <c r="A44" s="217">
        <v>8</v>
      </c>
      <c r="B44" s="679" t="s">
        <v>634</v>
      </c>
      <c r="C44" s="680"/>
      <c r="D44" s="680"/>
      <c r="E44" s="680"/>
      <c r="F44" s="681"/>
      <c r="G44" s="214"/>
      <c r="H44" s="214"/>
      <c r="I44" s="214"/>
      <c r="J44" s="214"/>
      <c r="K44" s="214"/>
      <c r="L44" s="224">
        <f t="shared" ref="L44:L52" si="4">SUM(M44,N44,O44,P44)</f>
        <v>0</v>
      </c>
      <c r="M44" s="224"/>
      <c r="N44" s="214"/>
      <c r="O44" s="214"/>
      <c r="P44" s="214"/>
      <c r="Q44" s="218">
        <f t="shared" ref="Q44:Q60" si="5">R44+S44+T44+U44</f>
        <v>0.7</v>
      </c>
      <c r="R44" s="215">
        <v>0.7</v>
      </c>
      <c r="S44" s="215"/>
      <c r="T44" s="307"/>
      <c r="U44" s="307"/>
      <c r="V44" s="215">
        <f t="shared" ref="V44:V52" si="6">SUM(W44,X44,Y44,Z44)</f>
        <v>0</v>
      </c>
      <c r="W44" s="215"/>
      <c r="X44" s="215"/>
      <c r="Y44" s="215"/>
      <c r="Z44" s="215"/>
      <c r="AA44" s="216">
        <f t="shared" ref="AA44:AA54" si="7">SUM(AB44,AC44,AD44,AE44)</f>
        <v>0.7</v>
      </c>
      <c r="AB44" s="215">
        <f t="shared" ref="AB44:AE57" si="8">SUM(H44,M44,R44,W44)</f>
        <v>0.7</v>
      </c>
      <c r="AC44" s="215">
        <f t="shared" si="8"/>
        <v>0</v>
      </c>
      <c r="AD44" s="215">
        <f t="shared" si="8"/>
        <v>0</v>
      </c>
      <c r="AE44" s="215">
        <f t="shared" si="8"/>
        <v>0</v>
      </c>
      <c r="AF44" s="211"/>
    </row>
    <row r="45" spans="1:32" ht="30" customHeight="1">
      <c r="A45" s="217">
        <v>9</v>
      </c>
      <c r="B45" s="682" t="s">
        <v>635</v>
      </c>
      <c r="C45" s="683"/>
      <c r="D45" s="683"/>
      <c r="E45" s="683"/>
      <c r="F45" s="684"/>
      <c r="G45" s="214"/>
      <c r="H45" s="214"/>
      <c r="I45" s="214"/>
      <c r="J45" s="214"/>
      <c r="K45" s="214"/>
      <c r="L45" s="224">
        <f t="shared" si="4"/>
        <v>0</v>
      </c>
      <c r="M45" s="214"/>
      <c r="N45" s="224"/>
      <c r="O45" s="214"/>
      <c r="P45" s="214"/>
      <c r="Q45" s="218">
        <f t="shared" si="5"/>
        <v>2.4</v>
      </c>
      <c r="R45" s="215">
        <v>2.4</v>
      </c>
      <c r="S45" s="215"/>
      <c r="T45" s="307"/>
      <c r="U45" s="307"/>
      <c r="V45" s="215">
        <f t="shared" si="6"/>
        <v>0</v>
      </c>
      <c r="W45" s="215"/>
      <c r="X45" s="215"/>
      <c r="Y45" s="215"/>
      <c r="Z45" s="215"/>
      <c r="AA45" s="216">
        <f t="shared" si="7"/>
        <v>2.4</v>
      </c>
      <c r="AB45" s="215">
        <f t="shared" si="8"/>
        <v>2.4</v>
      </c>
      <c r="AC45" s="215">
        <f t="shared" si="8"/>
        <v>0</v>
      </c>
      <c r="AD45" s="215">
        <f t="shared" si="8"/>
        <v>0</v>
      </c>
      <c r="AE45" s="215">
        <f t="shared" si="8"/>
        <v>0</v>
      </c>
      <c r="AF45" s="211"/>
    </row>
    <row r="46" spans="1:32" ht="30" customHeight="1">
      <c r="A46" s="217">
        <v>10</v>
      </c>
      <c r="B46" s="679" t="s">
        <v>636</v>
      </c>
      <c r="C46" s="680"/>
      <c r="D46" s="680"/>
      <c r="E46" s="680"/>
      <c r="F46" s="681"/>
      <c r="G46" s="214"/>
      <c r="H46" s="214"/>
      <c r="I46" s="214"/>
      <c r="J46" s="214"/>
      <c r="K46" s="214"/>
      <c r="L46" s="224">
        <f t="shared" si="4"/>
        <v>0</v>
      </c>
      <c r="M46" s="214"/>
      <c r="N46" s="224"/>
      <c r="O46" s="214"/>
      <c r="P46" s="214"/>
      <c r="Q46" s="218">
        <f t="shared" si="5"/>
        <v>1.2</v>
      </c>
      <c r="R46" s="215"/>
      <c r="S46" s="215">
        <v>1.2</v>
      </c>
      <c r="T46" s="307"/>
      <c r="U46" s="307"/>
      <c r="V46" s="215">
        <f t="shared" si="6"/>
        <v>0</v>
      </c>
      <c r="W46" s="215"/>
      <c r="X46" s="215"/>
      <c r="Y46" s="215"/>
      <c r="Z46" s="215"/>
      <c r="AA46" s="216">
        <f t="shared" si="7"/>
        <v>1.2</v>
      </c>
      <c r="AB46" s="215">
        <f t="shared" si="8"/>
        <v>0</v>
      </c>
      <c r="AC46" s="215">
        <f t="shared" si="8"/>
        <v>1.2</v>
      </c>
      <c r="AD46" s="215">
        <f t="shared" si="8"/>
        <v>0</v>
      </c>
      <c r="AE46" s="215">
        <f t="shared" si="8"/>
        <v>0</v>
      </c>
      <c r="AF46" s="211"/>
    </row>
    <row r="47" spans="1:32" ht="30" customHeight="1">
      <c r="A47" s="217">
        <v>11</v>
      </c>
      <c r="B47" s="679" t="s">
        <v>637</v>
      </c>
      <c r="C47" s="680"/>
      <c r="D47" s="680"/>
      <c r="E47" s="680"/>
      <c r="F47" s="681"/>
      <c r="G47" s="214"/>
      <c r="H47" s="214"/>
      <c r="I47" s="214"/>
      <c r="J47" s="214"/>
      <c r="K47" s="214"/>
      <c r="L47" s="224">
        <f t="shared" si="4"/>
        <v>0</v>
      </c>
      <c r="M47" s="214"/>
      <c r="N47" s="224"/>
      <c r="O47" s="214"/>
      <c r="P47" s="214"/>
      <c r="Q47" s="218">
        <f t="shared" si="5"/>
        <v>0.5</v>
      </c>
      <c r="R47" s="215"/>
      <c r="S47" s="215">
        <v>0.5</v>
      </c>
      <c r="T47" s="307"/>
      <c r="U47" s="307"/>
      <c r="V47" s="215">
        <f t="shared" si="6"/>
        <v>0</v>
      </c>
      <c r="W47" s="215"/>
      <c r="X47" s="215"/>
      <c r="Y47" s="215"/>
      <c r="Z47" s="215"/>
      <c r="AA47" s="216">
        <f t="shared" si="7"/>
        <v>0.5</v>
      </c>
      <c r="AB47" s="215">
        <f t="shared" si="8"/>
        <v>0</v>
      </c>
      <c r="AC47" s="215">
        <f t="shared" si="8"/>
        <v>0.5</v>
      </c>
      <c r="AD47" s="215">
        <f t="shared" si="8"/>
        <v>0</v>
      </c>
      <c r="AE47" s="215">
        <f t="shared" si="8"/>
        <v>0</v>
      </c>
      <c r="AF47" s="211"/>
    </row>
    <row r="48" spans="1:32" ht="30" customHeight="1">
      <c r="A48" s="217">
        <v>12</v>
      </c>
      <c r="B48" s="696" t="s">
        <v>638</v>
      </c>
      <c r="C48" s="697"/>
      <c r="D48" s="697"/>
      <c r="E48" s="697"/>
      <c r="F48" s="698"/>
      <c r="G48" s="214"/>
      <c r="H48" s="214"/>
      <c r="I48" s="214"/>
      <c r="J48" s="214"/>
      <c r="K48" s="214"/>
      <c r="L48" s="224">
        <f t="shared" si="4"/>
        <v>1</v>
      </c>
      <c r="M48" s="224"/>
      <c r="N48" s="214">
        <v>1</v>
      </c>
      <c r="O48" s="214"/>
      <c r="P48" s="214"/>
      <c r="Q48" s="218">
        <f t="shared" si="5"/>
        <v>0</v>
      </c>
      <c r="R48" s="215"/>
      <c r="S48" s="215"/>
      <c r="T48" s="307"/>
      <c r="U48" s="307"/>
      <c r="V48" s="215">
        <f t="shared" si="6"/>
        <v>0</v>
      </c>
      <c r="W48" s="215"/>
      <c r="X48" s="215"/>
      <c r="Y48" s="215"/>
      <c r="Z48" s="215"/>
      <c r="AA48" s="216">
        <f t="shared" si="7"/>
        <v>1</v>
      </c>
      <c r="AB48" s="215">
        <f t="shared" si="8"/>
        <v>0</v>
      </c>
      <c r="AC48" s="215">
        <f t="shared" si="8"/>
        <v>1</v>
      </c>
      <c r="AD48" s="215">
        <f t="shared" si="8"/>
        <v>0</v>
      </c>
      <c r="AE48" s="215">
        <f t="shared" si="8"/>
        <v>0</v>
      </c>
      <c r="AF48" s="211"/>
    </row>
    <row r="49" spans="1:32" ht="30" customHeight="1">
      <c r="A49" s="217">
        <v>13</v>
      </c>
      <c r="B49" s="679" t="s">
        <v>639</v>
      </c>
      <c r="C49" s="680"/>
      <c r="D49" s="680"/>
      <c r="E49" s="680"/>
      <c r="F49" s="681"/>
      <c r="G49" s="214"/>
      <c r="H49" s="214"/>
      <c r="I49" s="214"/>
      <c r="J49" s="214"/>
      <c r="K49" s="214"/>
      <c r="L49" s="224">
        <f t="shared" si="4"/>
        <v>0</v>
      </c>
      <c r="M49" s="214"/>
      <c r="N49" s="214"/>
      <c r="O49" s="224"/>
      <c r="P49" s="214"/>
      <c r="Q49" s="218">
        <f t="shared" si="5"/>
        <v>5.3</v>
      </c>
      <c r="R49" s="215"/>
      <c r="S49" s="215">
        <v>5.3</v>
      </c>
      <c r="T49" s="307"/>
      <c r="U49" s="307"/>
      <c r="V49" s="215">
        <f t="shared" si="6"/>
        <v>0</v>
      </c>
      <c r="W49" s="215"/>
      <c r="X49" s="215"/>
      <c r="Y49" s="215"/>
      <c r="Z49" s="215"/>
      <c r="AA49" s="216">
        <f t="shared" si="7"/>
        <v>5.3</v>
      </c>
      <c r="AB49" s="215">
        <f t="shared" si="8"/>
        <v>0</v>
      </c>
      <c r="AC49" s="215">
        <f t="shared" si="8"/>
        <v>5.3</v>
      </c>
      <c r="AD49" s="215">
        <f t="shared" si="8"/>
        <v>0</v>
      </c>
      <c r="AE49" s="215">
        <f t="shared" si="8"/>
        <v>0</v>
      </c>
      <c r="AF49" s="211"/>
    </row>
    <row r="50" spans="1:32" ht="30" customHeight="1">
      <c r="A50" s="217">
        <v>14</v>
      </c>
      <c r="B50" s="679" t="s">
        <v>640</v>
      </c>
      <c r="C50" s="680"/>
      <c r="D50" s="680"/>
      <c r="E50" s="680"/>
      <c r="F50" s="681"/>
      <c r="G50" s="214"/>
      <c r="H50" s="214"/>
      <c r="I50" s="214"/>
      <c r="J50" s="214"/>
      <c r="K50" s="214"/>
      <c r="L50" s="224">
        <f t="shared" si="4"/>
        <v>0</v>
      </c>
      <c r="M50" s="214"/>
      <c r="N50" s="214"/>
      <c r="O50" s="224"/>
      <c r="P50" s="214"/>
      <c r="Q50" s="218">
        <f t="shared" si="5"/>
        <v>0.9</v>
      </c>
      <c r="R50" s="215">
        <v>0.9</v>
      </c>
      <c r="S50" s="215"/>
      <c r="T50" s="307"/>
      <c r="U50" s="307"/>
      <c r="V50" s="215">
        <f t="shared" si="6"/>
        <v>0</v>
      </c>
      <c r="W50" s="215"/>
      <c r="X50" s="215"/>
      <c r="Y50" s="215"/>
      <c r="Z50" s="215"/>
      <c r="AA50" s="216">
        <f t="shared" si="7"/>
        <v>0.9</v>
      </c>
      <c r="AB50" s="215">
        <f t="shared" si="8"/>
        <v>0.9</v>
      </c>
      <c r="AC50" s="215">
        <f t="shared" si="8"/>
        <v>0</v>
      </c>
      <c r="AD50" s="215">
        <f t="shared" si="8"/>
        <v>0</v>
      </c>
      <c r="AE50" s="215">
        <f t="shared" si="8"/>
        <v>0</v>
      </c>
      <c r="AF50" s="211"/>
    </row>
    <row r="51" spans="1:32" ht="30" customHeight="1">
      <c r="A51" s="217">
        <v>15</v>
      </c>
      <c r="B51" s="696" t="s">
        <v>641</v>
      </c>
      <c r="C51" s="697"/>
      <c r="D51" s="697"/>
      <c r="E51" s="697"/>
      <c r="F51" s="698"/>
      <c r="G51" s="214"/>
      <c r="H51" s="214"/>
      <c r="I51" s="214"/>
      <c r="J51" s="214"/>
      <c r="K51" s="214"/>
      <c r="L51" s="224">
        <f t="shared" si="4"/>
        <v>0</v>
      </c>
      <c r="M51" s="214"/>
      <c r="N51" s="214"/>
      <c r="O51" s="224"/>
      <c r="P51" s="214"/>
      <c r="Q51" s="218">
        <f t="shared" si="5"/>
        <v>1.7</v>
      </c>
      <c r="R51" s="215">
        <v>1.7</v>
      </c>
      <c r="S51" s="215"/>
      <c r="T51" s="307"/>
      <c r="U51" s="307"/>
      <c r="V51" s="215">
        <f t="shared" si="6"/>
        <v>0</v>
      </c>
      <c r="W51" s="215"/>
      <c r="X51" s="215"/>
      <c r="Y51" s="215"/>
      <c r="Z51" s="215"/>
      <c r="AA51" s="216">
        <f t="shared" si="7"/>
        <v>1.7</v>
      </c>
      <c r="AB51" s="215">
        <f t="shared" si="8"/>
        <v>1.7</v>
      </c>
      <c r="AC51" s="215">
        <f t="shared" si="8"/>
        <v>0</v>
      </c>
      <c r="AD51" s="215">
        <f t="shared" si="8"/>
        <v>0</v>
      </c>
      <c r="AE51" s="215">
        <f t="shared" si="8"/>
        <v>0</v>
      </c>
      <c r="AF51" s="211"/>
    </row>
    <row r="52" spans="1:32" ht="30" customHeight="1">
      <c r="A52" s="217">
        <v>16</v>
      </c>
      <c r="B52" s="695" t="s">
        <v>642</v>
      </c>
      <c r="C52" s="695"/>
      <c r="D52" s="695"/>
      <c r="E52" s="695"/>
      <c r="F52" s="695"/>
      <c r="G52" s="214"/>
      <c r="H52" s="214"/>
      <c r="I52" s="214"/>
      <c r="J52" s="214"/>
      <c r="K52" s="214"/>
      <c r="L52" s="224">
        <f t="shared" si="4"/>
        <v>0</v>
      </c>
      <c r="M52" s="214"/>
      <c r="N52" s="214"/>
      <c r="O52" s="224"/>
      <c r="P52" s="214"/>
      <c r="Q52" s="218">
        <f t="shared" si="5"/>
        <v>1.7</v>
      </c>
      <c r="R52" s="215">
        <v>1.7</v>
      </c>
      <c r="S52" s="215"/>
      <c r="T52" s="307"/>
      <c r="U52" s="307"/>
      <c r="V52" s="215">
        <f t="shared" si="6"/>
        <v>0</v>
      </c>
      <c r="W52" s="215"/>
      <c r="X52" s="215"/>
      <c r="Y52" s="215"/>
      <c r="Z52" s="215"/>
      <c r="AA52" s="216">
        <f t="shared" si="7"/>
        <v>1.7</v>
      </c>
      <c r="AB52" s="215">
        <f t="shared" si="8"/>
        <v>1.7</v>
      </c>
      <c r="AC52" s="215">
        <f t="shared" si="8"/>
        <v>0</v>
      </c>
      <c r="AD52" s="215">
        <f t="shared" si="8"/>
        <v>0</v>
      </c>
      <c r="AE52" s="215">
        <f t="shared" si="8"/>
        <v>0</v>
      </c>
      <c r="AF52" s="211"/>
    </row>
    <row r="53" spans="1:32" ht="30" customHeight="1">
      <c r="A53" s="217">
        <v>17</v>
      </c>
      <c r="B53" s="695" t="s">
        <v>643</v>
      </c>
      <c r="C53" s="695"/>
      <c r="D53" s="695"/>
      <c r="E53" s="695"/>
      <c r="F53" s="695"/>
      <c r="G53" s="214"/>
      <c r="H53" s="214"/>
      <c r="I53" s="214"/>
      <c r="J53" s="214"/>
      <c r="K53" s="214"/>
      <c r="L53" s="224">
        <f>SUM(M53,N53,O53,P53)</f>
        <v>0</v>
      </c>
      <c r="M53" s="214"/>
      <c r="N53" s="214"/>
      <c r="O53" s="224"/>
      <c r="P53" s="214"/>
      <c r="Q53" s="218">
        <f t="shared" si="5"/>
        <v>1.3</v>
      </c>
      <c r="R53" s="215">
        <v>1.3</v>
      </c>
      <c r="S53" s="215"/>
      <c r="T53" s="307"/>
      <c r="U53" s="307"/>
      <c r="V53" s="215">
        <f>SUM(W53,X53,Y53,Z53)</f>
        <v>0</v>
      </c>
      <c r="W53" s="215"/>
      <c r="X53" s="215"/>
      <c r="Y53" s="215"/>
      <c r="Z53" s="215"/>
      <c r="AA53" s="216">
        <f t="shared" si="7"/>
        <v>1.3</v>
      </c>
      <c r="AB53" s="215">
        <f t="shared" si="8"/>
        <v>1.3</v>
      </c>
      <c r="AC53" s="215">
        <f t="shared" si="8"/>
        <v>0</v>
      </c>
      <c r="AD53" s="215">
        <f t="shared" si="8"/>
        <v>0</v>
      </c>
      <c r="AE53" s="215">
        <f t="shared" si="8"/>
        <v>0</v>
      </c>
      <c r="AF53" s="211"/>
    </row>
    <row r="54" spans="1:32" ht="30" customHeight="1">
      <c r="A54" s="217">
        <v>18</v>
      </c>
      <c r="B54" s="695" t="s">
        <v>644</v>
      </c>
      <c r="C54" s="695"/>
      <c r="D54" s="695"/>
      <c r="E54" s="695"/>
      <c r="F54" s="695"/>
      <c r="G54" s="214"/>
      <c r="H54" s="214"/>
      <c r="I54" s="214"/>
      <c r="J54" s="214"/>
      <c r="K54" s="214"/>
      <c r="L54" s="224">
        <f t="shared" ref="L54:L64" si="9">SUM(M54,N54,O54,P54)</f>
        <v>0</v>
      </c>
      <c r="M54" s="214"/>
      <c r="N54" s="214"/>
      <c r="O54" s="224"/>
      <c r="P54" s="214"/>
      <c r="Q54" s="218">
        <f t="shared" si="5"/>
        <v>14.9</v>
      </c>
      <c r="R54" s="215">
        <v>14.9</v>
      </c>
      <c r="S54" s="215"/>
      <c r="T54" s="307"/>
      <c r="U54" s="307"/>
      <c r="V54" s="215">
        <f t="shared" ref="V54:V64" si="10">SUM(W54,X54,Y54,Z54)</f>
        <v>0</v>
      </c>
      <c r="W54" s="215"/>
      <c r="X54" s="215"/>
      <c r="Y54" s="215"/>
      <c r="Z54" s="215"/>
      <c r="AA54" s="216">
        <f t="shared" si="7"/>
        <v>14.9</v>
      </c>
      <c r="AB54" s="215">
        <f t="shared" si="8"/>
        <v>14.9</v>
      </c>
      <c r="AC54" s="215">
        <f t="shared" si="8"/>
        <v>0</v>
      </c>
      <c r="AD54" s="215">
        <f t="shared" si="8"/>
        <v>0</v>
      </c>
      <c r="AE54" s="215">
        <f t="shared" si="8"/>
        <v>0</v>
      </c>
      <c r="AF54" s="211"/>
    </row>
    <row r="55" spans="1:32" ht="30" customHeight="1">
      <c r="A55" s="217">
        <v>19</v>
      </c>
      <c r="B55" s="679" t="s">
        <v>645</v>
      </c>
      <c r="C55" s="680"/>
      <c r="D55" s="680"/>
      <c r="E55" s="680"/>
      <c r="F55" s="681"/>
      <c r="G55" s="214"/>
      <c r="H55" s="214"/>
      <c r="I55" s="214"/>
      <c r="J55" s="214"/>
      <c r="K55" s="214"/>
      <c r="L55" s="224">
        <f t="shared" si="9"/>
        <v>0</v>
      </c>
      <c r="M55" s="214"/>
      <c r="N55" s="214"/>
      <c r="O55" s="224"/>
      <c r="P55" s="214"/>
      <c r="Q55" s="218">
        <f t="shared" si="5"/>
        <v>3</v>
      </c>
      <c r="R55" s="215">
        <v>3</v>
      </c>
      <c r="S55" s="215"/>
      <c r="T55" s="307"/>
      <c r="U55" s="307"/>
      <c r="V55" s="215">
        <f t="shared" si="10"/>
        <v>0</v>
      </c>
      <c r="W55" s="215"/>
      <c r="X55" s="215"/>
      <c r="Y55" s="215"/>
      <c r="Z55" s="215"/>
      <c r="AA55" s="216">
        <f>SUM(AB55,AC55,AD55,AE55)</f>
        <v>3</v>
      </c>
      <c r="AB55" s="215">
        <f>SUM(H55,M55,R55,W55)</f>
        <v>3</v>
      </c>
      <c r="AC55" s="215">
        <f t="shared" si="8"/>
        <v>0</v>
      </c>
      <c r="AD55" s="215">
        <f>SUM(J55,O55,T55,Y55)</f>
        <v>0</v>
      </c>
      <c r="AE55" s="215">
        <f>SUM(K55,P55,U55,Z55)</f>
        <v>0</v>
      </c>
      <c r="AF55" s="211"/>
    </row>
    <row r="56" spans="1:32" ht="30" customHeight="1">
      <c r="A56" s="217">
        <v>20</v>
      </c>
      <c r="B56" s="679" t="s">
        <v>646</v>
      </c>
      <c r="C56" s="680"/>
      <c r="D56" s="680"/>
      <c r="E56" s="680"/>
      <c r="F56" s="681"/>
      <c r="G56" s="214"/>
      <c r="H56" s="214"/>
      <c r="I56" s="214"/>
      <c r="J56" s="214"/>
      <c r="K56" s="214"/>
      <c r="L56" s="224">
        <f t="shared" si="9"/>
        <v>0</v>
      </c>
      <c r="M56" s="214"/>
      <c r="N56" s="214"/>
      <c r="O56" s="224"/>
      <c r="P56" s="214"/>
      <c r="Q56" s="218">
        <f t="shared" si="5"/>
        <v>2</v>
      </c>
      <c r="R56" s="215">
        <v>2</v>
      </c>
      <c r="S56" s="215"/>
      <c r="T56" s="307"/>
      <c r="U56" s="307"/>
      <c r="V56" s="215">
        <f t="shared" si="10"/>
        <v>0</v>
      </c>
      <c r="W56" s="215"/>
      <c r="X56" s="215"/>
      <c r="Y56" s="215"/>
      <c r="Z56" s="215"/>
      <c r="AA56" s="216">
        <f t="shared" ref="AA56:AA62" si="11">SUM(AB56,AC56,AD56,AE56)</f>
        <v>2</v>
      </c>
      <c r="AB56" s="215">
        <f t="shared" ref="AB56:AE63" si="12">SUM(H56,M56,R56,W56)</f>
        <v>2</v>
      </c>
      <c r="AC56" s="215">
        <f t="shared" si="8"/>
        <v>0</v>
      </c>
      <c r="AD56" s="215">
        <f t="shared" si="8"/>
        <v>0</v>
      </c>
      <c r="AE56" s="215">
        <f t="shared" si="8"/>
        <v>0</v>
      </c>
      <c r="AF56" s="211"/>
    </row>
    <row r="57" spans="1:32" ht="30" customHeight="1">
      <c r="A57" s="217">
        <v>21</v>
      </c>
      <c r="B57" s="679" t="s">
        <v>647</v>
      </c>
      <c r="C57" s="680"/>
      <c r="D57" s="680"/>
      <c r="E57" s="680"/>
      <c r="F57" s="681"/>
      <c r="G57" s="214"/>
      <c r="H57" s="214"/>
      <c r="I57" s="214"/>
      <c r="J57" s="214"/>
      <c r="K57" s="214"/>
      <c r="L57" s="224">
        <f t="shared" si="9"/>
        <v>2.5</v>
      </c>
      <c r="M57" s="214"/>
      <c r="N57" s="214"/>
      <c r="O57" s="224">
        <v>2.5</v>
      </c>
      <c r="P57" s="267"/>
      <c r="Q57" s="218">
        <f t="shared" si="5"/>
        <v>0</v>
      </c>
      <c r="R57" s="215"/>
      <c r="S57" s="215"/>
      <c r="T57" s="307"/>
      <c r="U57" s="307"/>
      <c r="V57" s="215">
        <f t="shared" si="10"/>
        <v>0</v>
      </c>
      <c r="W57" s="215"/>
      <c r="X57" s="215"/>
      <c r="Y57" s="215"/>
      <c r="Z57" s="215"/>
      <c r="AA57" s="216">
        <f t="shared" si="11"/>
        <v>2.5</v>
      </c>
      <c r="AB57" s="215">
        <f t="shared" si="12"/>
        <v>0</v>
      </c>
      <c r="AC57" s="215">
        <f t="shared" si="8"/>
        <v>0</v>
      </c>
      <c r="AD57" s="215">
        <f t="shared" si="8"/>
        <v>2.5</v>
      </c>
      <c r="AE57" s="215">
        <f t="shared" si="8"/>
        <v>0</v>
      </c>
      <c r="AF57" s="211"/>
    </row>
    <row r="58" spans="1:32" ht="30" customHeight="1">
      <c r="A58" s="217">
        <v>22</v>
      </c>
      <c r="B58" s="679" t="s">
        <v>648</v>
      </c>
      <c r="C58" s="680"/>
      <c r="D58" s="680"/>
      <c r="E58" s="680"/>
      <c r="F58" s="681"/>
      <c r="G58" s="214"/>
      <c r="H58" s="214"/>
      <c r="I58" s="214"/>
      <c r="J58" s="214"/>
      <c r="K58" s="214"/>
      <c r="L58" s="224">
        <f t="shared" si="9"/>
        <v>75.8</v>
      </c>
      <c r="M58" s="214"/>
      <c r="N58" s="214"/>
      <c r="O58" s="224">
        <v>75.8</v>
      </c>
      <c r="P58" s="267"/>
      <c r="Q58" s="218">
        <f t="shared" si="5"/>
        <v>0</v>
      </c>
      <c r="R58" s="215"/>
      <c r="S58" s="215"/>
      <c r="T58" s="307"/>
      <c r="U58" s="307"/>
      <c r="V58" s="215">
        <f t="shared" si="10"/>
        <v>0</v>
      </c>
      <c r="W58" s="215"/>
      <c r="X58" s="215"/>
      <c r="Y58" s="215"/>
      <c r="Z58" s="215"/>
      <c r="AA58" s="216">
        <f t="shared" si="11"/>
        <v>75.8</v>
      </c>
      <c r="AB58" s="215">
        <f t="shared" si="12"/>
        <v>0</v>
      </c>
      <c r="AC58" s="215">
        <f t="shared" si="12"/>
        <v>0</v>
      </c>
      <c r="AD58" s="215">
        <f t="shared" si="12"/>
        <v>75.8</v>
      </c>
      <c r="AE58" s="215">
        <f t="shared" si="12"/>
        <v>0</v>
      </c>
      <c r="AF58" s="211"/>
    </row>
    <row r="59" spans="1:32" ht="30" customHeight="1">
      <c r="A59" s="217">
        <v>23</v>
      </c>
      <c r="B59" s="699" t="s">
        <v>739</v>
      </c>
      <c r="C59" s="700"/>
      <c r="D59" s="700"/>
      <c r="E59" s="700"/>
      <c r="F59" s="701"/>
      <c r="G59" s="214"/>
      <c r="H59" s="214"/>
      <c r="I59" s="214"/>
      <c r="J59" s="214"/>
      <c r="K59" s="214"/>
      <c r="L59" s="224">
        <f t="shared" si="9"/>
        <v>73.3</v>
      </c>
      <c r="M59" s="214"/>
      <c r="N59" s="214"/>
      <c r="O59" s="224">
        <v>70.599999999999994</v>
      </c>
      <c r="P59" s="267">
        <v>2.7</v>
      </c>
      <c r="Q59" s="218">
        <f t="shared" si="5"/>
        <v>0</v>
      </c>
      <c r="R59" s="215"/>
      <c r="S59" s="215"/>
      <c r="T59" s="307"/>
      <c r="U59" s="307"/>
      <c r="V59" s="215">
        <f t="shared" si="10"/>
        <v>0</v>
      </c>
      <c r="W59" s="215"/>
      <c r="X59" s="215"/>
      <c r="Y59" s="215"/>
      <c r="Z59" s="215"/>
      <c r="AA59" s="216">
        <f t="shared" si="11"/>
        <v>73.3</v>
      </c>
      <c r="AB59" s="215">
        <f t="shared" si="12"/>
        <v>0</v>
      </c>
      <c r="AC59" s="215">
        <f t="shared" si="12"/>
        <v>0</v>
      </c>
      <c r="AD59" s="215">
        <f>SUM(J59,O59,T59,Y59)</f>
        <v>70.599999999999994</v>
      </c>
      <c r="AE59" s="215">
        <f t="shared" si="12"/>
        <v>2.7</v>
      </c>
      <c r="AF59" s="211"/>
    </row>
    <row r="60" spans="1:32" ht="30" customHeight="1">
      <c r="A60" s="217">
        <v>24</v>
      </c>
      <c r="B60" s="679" t="s">
        <v>666</v>
      </c>
      <c r="C60" s="680"/>
      <c r="D60" s="680"/>
      <c r="E60" s="680"/>
      <c r="F60" s="681"/>
      <c r="G60" s="214"/>
      <c r="H60" s="214"/>
      <c r="I60" s="214"/>
      <c r="J60" s="214"/>
      <c r="K60" s="214"/>
      <c r="L60" s="224">
        <f t="shared" si="9"/>
        <v>175.6</v>
      </c>
      <c r="M60" s="214"/>
      <c r="N60" s="214"/>
      <c r="O60" s="224">
        <v>169.1</v>
      </c>
      <c r="P60" s="267">
        <v>6.5</v>
      </c>
      <c r="Q60" s="218">
        <f t="shared" si="5"/>
        <v>0</v>
      </c>
      <c r="R60" s="215"/>
      <c r="S60" s="215"/>
      <c r="T60" s="307"/>
      <c r="U60" s="307"/>
      <c r="V60" s="215">
        <f t="shared" si="10"/>
        <v>0</v>
      </c>
      <c r="W60" s="215"/>
      <c r="X60" s="215"/>
      <c r="Y60" s="215"/>
      <c r="Z60" s="215"/>
      <c r="AA60" s="216">
        <f t="shared" si="11"/>
        <v>175.6</v>
      </c>
      <c r="AB60" s="215">
        <f t="shared" si="12"/>
        <v>0</v>
      </c>
      <c r="AC60" s="215">
        <f t="shared" si="12"/>
        <v>0</v>
      </c>
      <c r="AD60" s="215">
        <f t="shared" ref="AD60:AD65" si="13">SUM(J60,O60,T60,Y60)</f>
        <v>169.1</v>
      </c>
      <c r="AE60" s="215">
        <f t="shared" si="12"/>
        <v>6.5</v>
      </c>
      <c r="AF60" s="211"/>
    </row>
    <row r="61" spans="1:32" ht="30" customHeight="1">
      <c r="A61" s="217">
        <v>25</v>
      </c>
      <c r="B61" s="679" t="s">
        <v>649</v>
      </c>
      <c r="C61" s="680"/>
      <c r="D61" s="680"/>
      <c r="E61" s="680"/>
      <c r="F61" s="681"/>
      <c r="G61" s="214"/>
      <c r="H61" s="214"/>
      <c r="I61" s="214"/>
      <c r="J61" s="214"/>
      <c r="K61" s="214"/>
      <c r="L61" s="224">
        <f t="shared" si="9"/>
        <v>0</v>
      </c>
      <c r="M61" s="214"/>
      <c r="N61" s="214"/>
      <c r="O61" s="224"/>
      <c r="P61" s="267"/>
      <c r="Q61" s="218">
        <f>R61+S61+U61+T61</f>
        <v>1.8</v>
      </c>
      <c r="R61" s="215"/>
      <c r="S61" s="215"/>
      <c r="T61" s="308"/>
      <c r="U61" s="307">
        <v>1.8</v>
      </c>
      <c r="V61" s="215">
        <f t="shared" si="10"/>
        <v>0</v>
      </c>
      <c r="W61" s="215"/>
      <c r="X61" s="215"/>
      <c r="Y61" s="215"/>
      <c r="Z61" s="215"/>
      <c r="AA61" s="216">
        <f>SUM(AB61,AC61,AD61,AE61)</f>
        <v>1.8</v>
      </c>
      <c r="AB61" s="215">
        <f t="shared" si="12"/>
        <v>0</v>
      </c>
      <c r="AC61" s="215">
        <f t="shared" si="12"/>
        <v>0</v>
      </c>
      <c r="AD61" s="215">
        <f t="shared" si="13"/>
        <v>0</v>
      </c>
      <c r="AE61" s="215">
        <f>SUM(K61,P61,U61,Z61)</f>
        <v>1.8</v>
      </c>
      <c r="AF61" s="211"/>
    </row>
    <row r="62" spans="1:32" ht="30" customHeight="1">
      <c r="A62" s="217">
        <v>26</v>
      </c>
      <c r="B62" s="679" t="s">
        <v>650</v>
      </c>
      <c r="C62" s="680"/>
      <c r="D62" s="680"/>
      <c r="E62" s="680"/>
      <c r="F62" s="681"/>
      <c r="G62" s="214"/>
      <c r="H62" s="214"/>
      <c r="I62" s="214"/>
      <c r="J62" s="214"/>
      <c r="K62" s="214"/>
      <c r="L62" s="224">
        <f t="shared" si="9"/>
        <v>0</v>
      </c>
      <c r="M62" s="214"/>
      <c r="N62" s="214"/>
      <c r="O62" s="224"/>
      <c r="P62" s="267"/>
      <c r="Q62" s="218">
        <f>R62+S62+U62+T62</f>
        <v>1.1000000000000001</v>
      </c>
      <c r="R62" s="215"/>
      <c r="S62" s="215"/>
      <c r="T62" s="308"/>
      <c r="U62" s="307">
        <v>1.1000000000000001</v>
      </c>
      <c r="V62" s="215">
        <f t="shared" si="10"/>
        <v>0</v>
      </c>
      <c r="W62" s="215"/>
      <c r="X62" s="215"/>
      <c r="Y62" s="215"/>
      <c r="Z62" s="215"/>
      <c r="AA62" s="216">
        <f t="shared" si="11"/>
        <v>1.1000000000000001</v>
      </c>
      <c r="AB62" s="215">
        <f t="shared" si="12"/>
        <v>0</v>
      </c>
      <c r="AC62" s="215">
        <f t="shared" si="12"/>
        <v>0</v>
      </c>
      <c r="AD62" s="215">
        <f t="shared" si="13"/>
        <v>0</v>
      </c>
      <c r="AE62" s="215">
        <f>SUM(K62,P62,U62,Z62)</f>
        <v>1.1000000000000001</v>
      </c>
      <c r="AF62" s="211"/>
    </row>
    <row r="63" spans="1:32" ht="30" customHeight="1">
      <c r="A63" s="217">
        <v>27</v>
      </c>
      <c r="B63" s="679" t="s">
        <v>651</v>
      </c>
      <c r="C63" s="680"/>
      <c r="D63" s="680"/>
      <c r="E63" s="680"/>
      <c r="F63" s="681"/>
      <c r="G63" s="214"/>
      <c r="H63" s="214"/>
      <c r="I63" s="214"/>
      <c r="J63" s="214"/>
      <c r="K63" s="214"/>
      <c r="L63" s="224">
        <f t="shared" si="9"/>
        <v>0</v>
      </c>
      <c r="M63" s="214"/>
      <c r="N63" s="214"/>
      <c r="O63" s="224"/>
      <c r="P63" s="214"/>
      <c r="Q63" s="218">
        <f>R63+S63+U63+T63</f>
        <v>4.5</v>
      </c>
      <c r="R63" s="215"/>
      <c r="S63" s="215"/>
      <c r="T63" s="308"/>
      <c r="U63" s="307">
        <v>4.5</v>
      </c>
      <c r="V63" s="215">
        <f t="shared" si="10"/>
        <v>0</v>
      </c>
      <c r="W63" s="215"/>
      <c r="X63" s="215"/>
      <c r="Y63" s="215"/>
      <c r="Z63" s="215"/>
      <c r="AA63" s="216">
        <f>SUM(AB63,AC63,AD63,AE63)</f>
        <v>4.5</v>
      </c>
      <c r="AB63" s="215">
        <f t="shared" si="12"/>
        <v>0</v>
      </c>
      <c r="AC63" s="215">
        <f t="shared" si="12"/>
        <v>0</v>
      </c>
      <c r="AD63" s="215">
        <f t="shared" si="13"/>
        <v>0</v>
      </c>
      <c r="AE63" s="215">
        <f>SUM(K63,P63,U63,Z63)</f>
        <v>4.5</v>
      </c>
      <c r="AF63" s="211"/>
    </row>
    <row r="64" spans="1:32" ht="30" customHeight="1">
      <c r="A64" s="217">
        <v>28</v>
      </c>
      <c r="B64" s="679" t="s">
        <v>652</v>
      </c>
      <c r="C64" s="680"/>
      <c r="D64" s="680"/>
      <c r="E64" s="680"/>
      <c r="F64" s="681"/>
      <c r="G64" s="214"/>
      <c r="H64" s="214"/>
      <c r="I64" s="214"/>
      <c r="J64" s="214"/>
      <c r="K64" s="214"/>
      <c r="L64" s="224">
        <f t="shared" si="9"/>
        <v>0</v>
      </c>
      <c r="M64" s="214"/>
      <c r="N64" s="214"/>
      <c r="O64" s="224"/>
      <c r="P64" s="214"/>
      <c r="Q64" s="218">
        <f>R64+S64+U64+T64</f>
        <v>2.4</v>
      </c>
      <c r="R64" s="215"/>
      <c r="S64" s="215"/>
      <c r="T64" s="308"/>
      <c r="U64" s="307">
        <v>2.4</v>
      </c>
      <c r="V64" s="215">
        <f t="shared" si="10"/>
        <v>0</v>
      </c>
      <c r="W64" s="215"/>
      <c r="X64" s="215"/>
      <c r="Y64" s="215"/>
      <c r="Z64" s="215"/>
      <c r="AA64" s="216">
        <f>SUM(AB64,AC64,AD64,AE64)</f>
        <v>2.4</v>
      </c>
      <c r="AB64" s="215">
        <f>SUM(H64,M64,R64,W64)</f>
        <v>0</v>
      </c>
      <c r="AC64" s="215">
        <f>SUM(I64,N64,S64,X64)</f>
        <v>0</v>
      </c>
      <c r="AD64" s="215">
        <f t="shared" si="13"/>
        <v>0</v>
      </c>
      <c r="AE64" s="215">
        <f>SUM(K64,P64,U64,Z64)</f>
        <v>2.4</v>
      </c>
      <c r="AF64" s="211"/>
    </row>
    <row r="65" spans="1:32" ht="30" customHeight="1">
      <c r="A65" s="217">
        <v>30</v>
      </c>
      <c r="B65" s="272" t="s">
        <v>649</v>
      </c>
      <c r="C65" s="273"/>
      <c r="D65" s="273"/>
      <c r="E65" s="273"/>
      <c r="F65" s="274"/>
      <c r="G65" s="214"/>
      <c r="H65" s="214"/>
      <c r="I65" s="214"/>
      <c r="J65" s="214"/>
      <c r="K65" s="214"/>
      <c r="L65" s="224"/>
      <c r="M65" s="214"/>
      <c r="N65" s="214"/>
      <c r="O65" s="224"/>
      <c r="P65" s="267">
        <v>1.3</v>
      </c>
      <c r="Q65" s="218"/>
      <c r="R65" s="215"/>
      <c r="S65" s="215"/>
      <c r="T65" s="308"/>
      <c r="U65" s="307"/>
      <c r="V65" s="215"/>
      <c r="W65" s="215"/>
      <c r="X65" s="215"/>
      <c r="Y65" s="215"/>
      <c r="Z65" s="215"/>
      <c r="AA65" s="216">
        <f>SUM(AB65,AC65,AD65,AE65)</f>
        <v>1.3</v>
      </c>
      <c r="AB65" s="215">
        <f t="shared" ref="AB65" si="14">SUM(H65,M65,R65,W65)</f>
        <v>0</v>
      </c>
      <c r="AC65" s="215">
        <f t="shared" ref="AC65" si="15">SUM(I65,N65,S65,X65)</f>
        <v>0</v>
      </c>
      <c r="AD65" s="215">
        <f t="shared" si="13"/>
        <v>0</v>
      </c>
      <c r="AE65" s="215">
        <f t="shared" ref="AE65" si="16">SUM(K65,P65,U65,Z65)</f>
        <v>1.3</v>
      </c>
      <c r="AF65" s="211"/>
    </row>
    <row r="66" spans="1:32" ht="20.100000000000001" customHeight="1">
      <c r="A66" s="263"/>
      <c r="B66" s="694" t="s">
        <v>504</v>
      </c>
      <c r="C66" s="694"/>
      <c r="D66" s="694"/>
      <c r="E66" s="694"/>
      <c r="F66" s="694"/>
      <c r="G66" s="261">
        <f>SUM(H66,I66,J66,K66)</f>
        <v>0</v>
      </c>
      <c r="H66" s="261"/>
      <c r="I66" s="261"/>
      <c r="J66" s="261"/>
      <c r="K66" s="261"/>
      <c r="L66" s="143">
        <f>SUM(M66,N66,O66,P66)</f>
        <v>329.5</v>
      </c>
      <c r="M66" s="143">
        <f>SUM(M44:M64)</f>
        <v>0</v>
      </c>
      <c r="N66" s="143">
        <f>SUM(N44:N64)</f>
        <v>1</v>
      </c>
      <c r="O66" s="143">
        <f>SUM(O44:O64)</f>
        <v>318</v>
      </c>
      <c r="P66" s="143">
        <f>SUM(P44:P65)</f>
        <v>10.5</v>
      </c>
      <c r="Q66" s="163">
        <f>SUM(R66,S66,T66,U66)</f>
        <v>45.400000000000006</v>
      </c>
      <c r="R66" s="143">
        <f>SUM(R44:R64)</f>
        <v>28.6</v>
      </c>
      <c r="S66" s="143">
        <f>SUM(S44:S64)</f>
        <v>7</v>
      </c>
      <c r="T66" s="309">
        <f>SUM(T44:T64)</f>
        <v>0</v>
      </c>
      <c r="U66" s="309">
        <f>SUM(U44:U64)</f>
        <v>9.8000000000000007</v>
      </c>
      <c r="V66" s="163">
        <f>SUM(W66,X66,Y66,Z66)</f>
        <v>0</v>
      </c>
      <c r="W66" s="143">
        <f>SUM(W44:W64)</f>
        <v>0</v>
      </c>
      <c r="X66" s="143">
        <f>SUM(X44:X64)</f>
        <v>0</v>
      </c>
      <c r="Y66" s="143">
        <f>SUM(Y44:Y64)</f>
        <v>0</v>
      </c>
      <c r="Z66" s="143">
        <f>SUM(Z44:Z64)</f>
        <v>0</v>
      </c>
      <c r="AA66" s="187">
        <f>SUM(AB66,AC66,AD66,AE66)</f>
        <v>374.90000000000003</v>
      </c>
      <c r="AB66" s="216">
        <f t="shared" ref="AB66:AE67" si="17">SUM(H66,M66,R66,W66)</f>
        <v>28.6</v>
      </c>
      <c r="AC66" s="187">
        <f t="shared" si="17"/>
        <v>8</v>
      </c>
      <c r="AD66" s="187">
        <f t="shared" si="17"/>
        <v>318</v>
      </c>
      <c r="AE66" s="144">
        <f t="shared" si="17"/>
        <v>20.3</v>
      </c>
    </row>
    <row r="67" spans="1:32" ht="20.100000000000001" customHeight="1">
      <c r="A67" s="691" t="s">
        <v>505</v>
      </c>
      <c r="B67" s="692"/>
      <c r="C67" s="692"/>
      <c r="D67" s="692"/>
      <c r="E67" s="692"/>
      <c r="F67" s="693"/>
      <c r="G67" s="262">
        <f>SUM(G37:G66)</f>
        <v>0</v>
      </c>
      <c r="H67" s="262">
        <f>SUM(H37:H66)</f>
        <v>0</v>
      </c>
      <c r="I67" s="262">
        <f>SUM(I37:I66)</f>
        <v>0</v>
      </c>
      <c r="J67" s="262">
        <f>SUM(J37:J66)</f>
        <v>0</v>
      </c>
      <c r="K67" s="262">
        <f>SUM(K37:K66)</f>
        <v>0</v>
      </c>
      <c r="L67" s="187">
        <f>L33+L41+L66+L34+L35</f>
        <v>5664.1</v>
      </c>
      <c r="M67" s="163">
        <f>M33+M41+M66+M34+M35</f>
        <v>985.4</v>
      </c>
      <c r="N67" s="163">
        <f>N33+N41+N66+N34+N35</f>
        <v>1092.7</v>
      </c>
      <c r="O67" s="163">
        <f>O33+O41+O66+O34+O35</f>
        <v>922.80000000000007</v>
      </c>
      <c r="P67" s="163">
        <f>P33+P41+P66+P34+P35</f>
        <v>2663.2</v>
      </c>
      <c r="Q67" s="187">
        <f>Q33+Q41+Q34+Q35</f>
        <v>16.700000000000003</v>
      </c>
      <c r="R67" s="143">
        <f>R33+R41+R66+R34+R35</f>
        <v>39.799999999999997</v>
      </c>
      <c r="S67" s="143">
        <f>S33+S41+S66+S34+S35</f>
        <v>7.6</v>
      </c>
      <c r="T67" s="309">
        <f>T33+T41+T66+T34+T35</f>
        <v>0</v>
      </c>
      <c r="U67" s="309">
        <f>U33+U41+U66+U34+U35</f>
        <v>21.200000000000003</v>
      </c>
      <c r="V67" s="187">
        <f>V33+V41+V66</f>
        <v>0</v>
      </c>
      <c r="W67" s="187">
        <f>W33+W41+W66</f>
        <v>0</v>
      </c>
      <c r="X67" s="187">
        <f>X33+X41+X66</f>
        <v>0</v>
      </c>
      <c r="Y67" s="187">
        <f>Y33+Y41+Y66</f>
        <v>0</v>
      </c>
      <c r="Z67" s="187">
        <f>Z33+Z41+Z66</f>
        <v>0</v>
      </c>
      <c r="AA67" s="187">
        <f>SUM(AB67,AC67,AD67,AE67)</f>
        <v>5732.7</v>
      </c>
      <c r="AB67" s="216">
        <f t="shared" si="17"/>
        <v>1025.2</v>
      </c>
      <c r="AC67" s="187">
        <f t="shared" si="17"/>
        <v>1100.3</v>
      </c>
      <c r="AD67" s="187">
        <f t="shared" si="17"/>
        <v>922.80000000000007</v>
      </c>
      <c r="AE67" s="144">
        <f>SUM(K67,P67,U67,Z67)</f>
        <v>2684.3999999999996</v>
      </c>
    </row>
    <row r="68" spans="1:32" ht="20.100000000000001" customHeight="1">
      <c r="A68" s="581" t="s">
        <v>53</v>
      </c>
      <c r="B68" s="582"/>
      <c r="C68" s="582"/>
      <c r="D68" s="582"/>
      <c r="E68" s="582"/>
      <c r="F68" s="583"/>
      <c r="G68" s="163">
        <f>G67/AA67*100</f>
        <v>0</v>
      </c>
      <c r="H68" s="163"/>
      <c r="I68" s="163"/>
      <c r="J68" s="163"/>
      <c r="K68" s="163"/>
      <c r="L68" s="163">
        <f>L67/AA67*100</f>
        <v>98.803356184694834</v>
      </c>
      <c r="M68" s="163"/>
      <c r="N68" s="163"/>
      <c r="O68" s="163"/>
      <c r="P68" s="163"/>
      <c r="Q68" s="163">
        <f>Q67/AA67*100</f>
        <v>0.29131124949849119</v>
      </c>
      <c r="R68" s="163"/>
      <c r="S68" s="163"/>
      <c r="T68" s="307"/>
      <c r="U68" s="307"/>
      <c r="V68" s="163">
        <f>V67/AA67*100</f>
        <v>0</v>
      </c>
      <c r="W68" s="260"/>
      <c r="X68" s="260"/>
      <c r="Y68" s="260"/>
      <c r="Z68" s="260"/>
      <c r="AA68" s="187">
        <f>SUM(G68,L68,Q68,V68)</f>
        <v>99.094667434193326</v>
      </c>
      <c r="AB68" s="260"/>
      <c r="AC68" s="260"/>
      <c r="AD68" s="260"/>
      <c r="AE68" s="260"/>
    </row>
    <row r="69" spans="1:32" ht="20.100000000000001" customHeight="1">
      <c r="A69" s="266"/>
      <c r="B69" s="266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266"/>
      <c r="T69" s="37"/>
      <c r="U69" s="37"/>
      <c r="V69" s="266"/>
      <c r="W69" s="164"/>
      <c r="X69" s="266"/>
      <c r="Y69" s="266"/>
      <c r="Z69" s="266"/>
      <c r="AA69" s="266"/>
      <c r="AB69" s="69"/>
      <c r="AC69" s="69"/>
      <c r="AD69" s="69"/>
      <c r="AE69" s="69"/>
    </row>
    <row r="70" spans="1:32" ht="20.100000000000001" customHeight="1">
      <c r="A70" s="153"/>
      <c r="B70" s="153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310"/>
      <c r="U70" s="310"/>
      <c r="V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2" s="24" customFormat="1" ht="20.100000000000001" customHeight="1">
      <c r="A71" s="256"/>
      <c r="B71" s="256" t="s">
        <v>399</v>
      </c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</row>
    <row r="72" spans="1:32" s="51" customFormat="1" ht="20.100000000000001" customHeight="1">
      <c r="A72" s="69"/>
      <c r="B72" s="69"/>
      <c r="C72" s="69"/>
      <c r="D72" s="69"/>
      <c r="E72" s="69"/>
      <c r="F72" s="69"/>
      <c r="G72" s="69"/>
      <c r="H72" s="69"/>
      <c r="I72" s="69"/>
      <c r="J72" s="165"/>
      <c r="K72" s="69"/>
      <c r="L72" s="165"/>
      <c r="M72" s="165"/>
      <c r="N72" s="165"/>
      <c r="O72" s="165"/>
      <c r="P72" s="165"/>
      <c r="Q72" s="165"/>
      <c r="R72" s="165"/>
      <c r="S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2" t="s">
        <v>357</v>
      </c>
    </row>
    <row r="73" spans="1:32" s="52" customFormat="1" ht="34.5" customHeight="1">
      <c r="A73" s="587" t="s">
        <v>48</v>
      </c>
      <c r="B73" s="584" t="s">
        <v>193</v>
      </c>
      <c r="C73" s="584" t="s">
        <v>205</v>
      </c>
      <c r="D73" s="584"/>
      <c r="E73" s="584" t="s">
        <v>155</v>
      </c>
      <c r="F73" s="584"/>
      <c r="G73" s="584" t="s">
        <v>373</v>
      </c>
      <c r="H73" s="584"/>
      <c r="I73" s="584" t="s">
        <v>374</v>
      </c>
      <c r="J73" s="584"/>
      <c r="K73" s="584" t="s">
        <v>368</v>
      </c>
      <c r="L73" s="584"/>
      <c r="M73" s="584"/>
      <c r="N73" s="584"/>
      <c r="O73" s="584"/>
      <c r="P73" s="584"/>
      <c r="Q73" s="584"/>
      <c r="R73" s="584"/>
      <c r="S73" s="584"/>
      <c r="T73" s="584"/>
      <c r="U73" s="584" t="s">
        <v>206</v>
      </c>
      <c r="V73" s="584"/>
      <c r="W73" s="584"/>
      <c r="X73" s="584"/>
      <c r="Y73" s="584"/>
      <c r="Z73" s="584" t="s">
        <v>308</v>
      </c>
      <c r="AA73" s="584"/>
      <c r="AB73" s="584"/>
      <c r="AC73" s="584"/>
      <c r="AD73" s="584"/>
      <c r="AE73" s="584"/>
    </row>
    <row r="74" spans="1:32" s="52" customFormat="1" ht="63.75" customHeight="1">
      <c r="A74" s="587"/>
      <c r="B74" s="584"/>
      <c r="C74" s="584"/>
      <c r="D74" s="584"/>
      <c r="E74" s="584"/>
      <c r="F74" s="584"/>
      <c r="G74" s="584"/>
      <c r="H74" s="584"/>
      <c r="I74" s="584"/>
      <c r="J74" s="584"/>
      <c r="K74" s="584" t="s">
        <v>215</v>
      </c>
      <c r="L74" s="584"/>
      <c r="M74" s="584" t="s">
        <v>216</v>
      </c>
      <c r="N74" s="584"/>
      <c r="O74" s="584" t="s">
        <v>204</v>
      </c>
      <c r="P74" s="584"/>
      <c r="Q74" s="584"/>
      <c r="R74" s="584"/>
      <c r="S74" s="584"/>
      <c r="T74" s="584"/>
      <c r="U74" s="584"/>
      <c r="V74" s="584"/>
      <c r="W74" s="584"/>
      <c r="X74" s="584"/>
      <c r="Y74" s="584"/>
      <c r="Z74" s="584"/>
      <c r="AA74" s="584"/>
      <c r="AB74" s="584"/>
      <c r="AC74" s="584"/>
      <c r="AD74" s="584"/>
      <c r="AE74" s="584"/>
    </row>
    <row r="75" spans="1:32" s="53" customFormat="1" ht="82.5" customHeight="1">
      <c r="A75" s="587"/>
      <c r="B75" s="584"/>
      <c r="C75" s="584"/>
      <c r="D75" s="584"/>
      <c r="E75" s="584"/>
      <c r="F75" s="584"/>
      <c r="G75" s="584"/>
      <c r="H75" s="584"/>
      <c r="I75" s="584"/>
      <c r="J75" s="584"/>
      <c r="K75" s="584"/>
      <c r="L75" s="584"/>
      <c r="M75" s="584"/>
      <c r="N75" s="584"/>
      <c r="O75" s="584" t="s">
        <v>188</v>
      </c>
      <c r="P75" s="584"/>
      <c r="Q75" s="584" t="s">
        <v>189</v>
      </c>
      <c r="R75" s="584"/>
      <c r="S75" s="584" t="s">
        <v>190</v>
      </c>
      <c r="T75" s="584"/>
      <c r="U75" s="584"/>
      <c r="V75" s="584"/>
      <c r="W75" s="584"/>
      <c r="X75" s="584"/>
      <c r="Y75" s="584"/>
      <c r="Z75" s="584"/>
      <c r="AA75" s="584"/>
      <c r="AB75" s="584"/>
      <c r="AC75" s="584"/>
      <c r="AD75" s="584"/>
      <c r="AE75" s="584"/>
    </row>
    <row r="76" spans="1:32" s="52" customFormat="1" ht="18" customHeight="1">
      <c r="A76" s="259">
        <v>1</v>
      </c>
      <c r="B76" s="260">
        <v>2</v>
      </c>
      <c r="C76" s="584">
        <v>3</v>
      </c>
      <c r="D76" s="584"/>
      <c r="E76" s="584">
        <v>4</v>
      </c>
      <c r="F76" s="584"/>
      <c r="G76" s="584">
        <v>5</v>
      </c>
      <c r="H76" s="584"/>
      <c r="I76" s="584">
        <v>6</v>
      </c>
      <c r="J76" s="584"/>
      <c r="K76" s="597">
        <v>7</v>
      </c>
      <c r="L76" s="599"/>
      <c r="M76" s="597">
        <v>8</v>
      </c>
      <c r="N76" s="599"/>
      <c r="O76" s="584">
        <v>9</v>
      </c>
      <c r="P76" s="584"/>
      <c r="Q76" s="587">
        <v>10</v>
      </c>
      <c r="R76" s="587"/>
      <c r="S76" s="584">
        <v>11</v>
      </c>
      <c r="T76" s="584"/>
      <c r="U76" s="584">
        <v>12</v>
      </c>
      <c r="V76" s="584"/>
      <c r="W76" s="584"/>
      <c r="X76" s="584"/>
      <c r="Y76" s="584"/>
      <c r="Z76" s="584">
        <v>13</v>
      </c>
      <c r="AA76" s="584"/>
      <c r="AB76" s="584"/>
      <c r="AC76" s="584"/>
      <c r="AD76" s="584"/>
      <c r="AE76" s="584"/>
    </row>
    <row r="77" spans="1:32" s="52" customFormat="1" ht="20.100000000000001" customHeight="1">
      <c r="A77" s="263"/>
      <c r="B77" s="166"/>
      <c r="C77" s="585"/>
      <c r="D77" s="585"/>
      <c r="E77" s="573"/>
      <c r="F77" s="573"/>
      <c r="G77" s="573"/>
      <c r="H77" s="573"/>
      <c r="I77" s="573"/>
      <c r="J77" s="573"/>
      <c r="K77" s="574"/>
      <c r="L77" s="576"/>
      <c r="M77" s="574">
        <f t="shared" ref="M77:M83" si="18">SUM(O77,Q77,S77)</f>
        <v>0</v>
      </c>
      <c r="N77" s="576"/>
      <c r="O77" s="573"/>
      <c r="P77" s="573"/>
      <c r="Q77" s="573"/>
      <c r="R77" s="573"/>
      <c r="S77" s="573"/>
      <c r="T77" s="573"/>
      <c r="U77" s="709"/>
      <c r="V77" s="709"/>
      <c r="W77" s="709"/>
      <c r="X77" s="709"/>
      <c r="Y77" s="709"/>
      <c r="Z77" s="702"/>
      <c r="AA77" s="702"/>
      <c r="AB77" s="702"/>
      <c r="AC77" s="702"/>
      <c r="AD77" s="702"/>
      <c r="AE77" s="702"/>
    </row>
    <row r="78" spans="1:32" s="52" customFormat="1" ht="20.100000000000001" customHeight="1">
      <c r="A78" s="263"/>
      <c r="B78" s="166"/>
      <c r="C78" s="585"/>
      <c r="D78" s="585"/>
      <c r="E78" s="573"/>
      <c r="F78" s="573"/>
      <c r="G78" s="573"/>
      <c r="H78" s="573"/>
      <c r="I78" s="573"/>
      <c r="J78" s="573"/>
      <c r="K78" s="574"/>
      <c r="L78" s="576"/>
      <c r="M78" s="574">
        <f t="shared" si="18"/>
        <v>0</v>
      </c>
      <c r="N78" s="576"/>
      <c r="O78" s="573"/>
      <c r="P78" s="573"/>
      <c r="Q78" s="573"/>
      <c r="R78" s="573"/>
      <c r="S78" s="573"/>
      <c r="T78" s="573"/>
      <c r="U78" s="709"/>
      <c r="V78" s="709"/>
      <c r="W78" s="709"/>
      <c r="X78" s="709"/>
      <c r="Y78" s="709"/>
      <c r="Z78" s="702"/>
      <c r="AA78" s="702"/>
      <c r="AB78" s="702"/>
      <c r="AC78" s="702"/>
      <c r="AD78" s="702"/>
      <c r="AE78" s="702"/>
    </row>
    <row r="79" spans="1:32" s="52" customFormat="1" ht="20.100000000000001" customHeight="1">
      <c r="A79" s="263"/>
      <c r="B79" s="166"/>
      <c r="C79" s="585"/>
      <c r="D79" s="585"/>
      <c r="E79" s="573"/>
      <c r="F79" s="573"/>
      <c r="G79" s="573"/>
      <c r="H79" s="573"/>
      <c r="I79" s="573"/>
      <c r="J79" s="573"/>
      <c r="K79" s="574"/>
      <c r="L79" s="576"/>
      <c r="M79" s="574">
        <f t="shared" si="18"/>
        <v>0</v>
      </c>
      <c r="N79" s="576"/>
      <c r="O79" s="573"/>
      <c r="P79" s="573"/>
      <c r="Q79" s="573"/>
      <c r="R79" s="573"/>
      <c r="S79" s="573"/>
      <c r="T79" s="573"/>
      <c r="U79" s="709"/>
      <c r="V79" s="709"/>
      <c r="W79" s="709"/>
      <c r="X79" s="709"/>
      <c r="Y79" s="709"/>
      <c r="Z79" s="702"/>
      <c r="AA79" s="702"/>
      <c r="AB79" s="702"/>
      <c r="AC79" s="702"/>
      <c r="AD79" s="702"/>
      <c r="AE79" s="702"/>
    </row>
    <row r="80" spans="1:32" s="52" customFormat="1" ht="20.100000000000001" customHeight="1">
      <c r="A80" s="263"/>
      <c r="B80" s="166"/>
      <c r="C80" s="585"/>
      <c r="D80" s="585"/>
      <c r="E80" s="573"/>
      <c r="F80" s="573"/>
      <c r="G80" s="573"/>
      <c r="H80" s="573"/>
      <c r="I80" s="573"/>
      <c r="J80" s="573"/>
      <c r="K80" s="574"/>
      <c r="L80" s="576"/>
      <c r="M80" s="574">
        <f t="shared" si="18"/>
        <v>0</v>
      </c>
      <c r="N80" s="576"/>
      <c r="O80" s="573"/>
      <c r="P80" s="573"/>
      <c r="Q80" s="573"/>
      <c r="R80" s="573"/>
      <c r="S80" s="573"/>
      <c r="T80" s="573"/>
      <c r="U80" s="709"/>
      <c r="V80" s="709"/>
      <c r="W80" s="709"/>
      <c r="X80" s="709"/>
      <c r="Y80" s="709"/>
      <c r="Z80" s="702"/>
      <c r="AA80" s="702"/>
      <c r="AB80" s="702"/>
      <c r="AC80" s="702"/>
      <c r="AD80" s="702"/>
      <c r="AE80" s="702"/>
    </row>
    <row r="81" spans="1:31" s="52" customFormat="1" ht="20.100000000000001" customHeight="1">
      <c r="A81" s="263"/>
      <c r="B81" s="166"/>
      <c r="C81" s="585"/>
      <c r="D81" s="585"/>
      <c r="E81" s="573"/>
      <c r="F81" s="573"/>
      <c r="G81" s="573"/>
      <c r="H81" s="573"/>
      <c r="I81" s="573"/>
      <c r="J81" s="573"/>
      <c r="K81" s="574"/>
      <c r="L81" s="576"/>
      <c r="M81" s="574">
        <f t="shared" si="18"/>
        <v>0</v>
      </c>
      <c r="N81" s="576"/>
      <c r="O81" s="573"/>
      <c r="P81" s="573"/>
      <c r="Q81" s="573"/>
      <c r="R81" s="573"/>
      <c r="S81" s="573"/>
      <c r="T81" s="573"/>
      <c r="U81" s="709"/>
      <c r="V81" s="709"/>
      <c r="W81" s="709"/>
      <c r="X81" s="709"/>
      <c r="Y81" s="709"/>
      <c r="Z81" s="702"/>
      <c r="AA81" s="702"/>
      <c r="AB81" s="702"/>
      <c r="AC81" s="702"/>
      <c r="AD81" s="702"/>
      <c r="AE81" s="702"/>
    </row>
    <row r="82" spans="1:31" s="52" customFormat="1" ht="20.100000000000001" customHeight="1">
      <c r="A82" s="263"/>
      <c r="B82" s="166"/>
      <c r="C82" s="585"/>
      <c r="D82" s="585"/>
      <c r="E82" s="573"/>
      <c r="F82" s="573"/>
      <c r="G82" s="573"/>
      <c r="H82" s="573"/>
      <c r="I82" s="573"/>
      <c r="J82" s="573"/>
      <c r="K82" s="574"/>
      <c r="L82" s="576"/>
      <c r="M82" s="574">
        <f t="shared" si="18"/>
        <v>0</v>
      </c>
      <c r="N82" s="576"/>
      <c r="O82" s="573"/>
      <c r="P82" s="573"/>
      <c r="Q82" s="573"/>
      <c r="R82" s="573"/>
      <c r="S82" s="573"/>
      <c r="T82" s="573"/>
      <c r="U82" s="709"/>
      <c r="V82" s="709"/>
      <c r="W82" s="709"/>
      <c r="X82" s="709"/>
      <c r="Y82" s="709"/>
      <c r="Z82" s="702"/>
      <c r="AA82" s="702"/>
      <c r="AB82" s="702"/>
      <c r="AC82" s="702"/>
      <c r="AD82" s="702"/>
      <c r="AE82" s="702"/>
    </row>
    <row r="83" spans="1:31" s="52" customFormat="1" ht="20.100000000000001" customHeight="1">
      <c r="A83" s="263"/>
      <c r="B83" s="166"/>
      <c r="C83" s="585"/>
      <c r="D83" s="585"/>
      <c r="E83" s="573"/>
      <c r="F83" s="573"/>
      <c r="G83" s="573"/>
      <c r="H83" s="573"/>
      <c r="I83" s="573"/>
      <c r="J83" s="573"/>
      <c r="K83" s="574"/>
      <c r="L83" s="576"/>
      <c r="M83" s="574">
        <f t="shared" si="18"/>
        <v>0</v>
      </c>
      <c r="N83" s="576"/>
      <c r="O83" s="573"/>
      <c r="P83" s="573"/>
      <c r="Q83" s="573"/>
      <c r="R83" s="573"/>
      <c r="S83" s="573"/>
      <c r="T83" s="573"/>
      <c r="U83" s="709"/>
      <c r="V83" s="709"/>
      <c r="W83" s="709"/>
      <c r="X83" s="709"/>
      <c r="Y83" s="709"/>
      <c r="Z83" s="702"/>
      <c r="AA83" s="702"/>
      <c r="AB83" s="702"/>
      <c r="AC83" s="702"/>
      <c r="AD83" s="702"/>
      <c r="AE83" s="702"/>
    </row>
    <row r="84" spans="1:31" s="52" customFormat="1" ht="20.100000000000001" customHeight="1">
      <c r="A84" s="578" t="s">
        <v>52</v>
      </c>
      <c r="B84" s="579"/>
      <c r="C84" s="579"/>
      <c r="D84" s="580"/>
      <c r="E84" s="577">
        <f>SUM(E77:E83)</f>
        <v>0</v>
      </c>
      <c r="F84" s="577"/>
      <c r="G84" s="577">
        <f>SUM(G77:G83)</f>
        <v>0</v>
      </c>
      <c r="H84" s="577"/>
      <c r="I84" s="577">
        <f>SUM(I77:I83)</f>
        <v>0</v>
      </c>
      <c r="J84" s="577"/>
      <c r="K84" s="577">
        <f>SUM(K77:K83)</f>
        <v>0</v>
      </c>
      <c r="L84" s="577"/>
      <c r="M84" s="577">
        <f>SUM(M77:M83)</f>
        <v>0</v>
      </c>
      <c r="N84" s="577"/>
      <c r="O84" s="577">
        <f>SUM(O77:O83)</f>
        <v>0</v>
      </c>
      <c r="P84" s="577"/>
      <c r="Q84" s="577">
        <f>SUM(Q77:Q83)</f>
        <v>0</v>
      </c>
      <c r="R84" s="577"/>
      <c r="S84" s="577">
        <f>SUM(S77:S83)</f>
        <v>0</v>
      </c>
      <c r="T84" s="577"/>
      <c r="U84" s="710"/>
      <c r="V84" s="710"/>
      <c r="W84" s="710"/>
      <c r="X84" s="710"/>
      <c r="Y84" s="710"/>
      <c r="Z84" s="694"/>
      <c r="AA84" s="694"/>
      <c r="AB84" s="694"/>
      <c r="AC84" s="694"/>
      <c r="AD84" s="694"/>
      <c r="AE84" s="694"/>
    </row>
    <row r="85" spans="1:31" ht="20.100000000000001" customHeight="1">
      <c r="A85" s="153"/>
      <c r="B85" s="153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310"/>
      <c r="U85" s="310"/>
      <c r="V85" s="69"/>
      <c r="W85" s="69"/>
      <c r="X85" s="69"/>
      <c r="Y85" s="69"/>
      <c r="Z85" s="69"/>
      <c r="AA85" s="69"/>
      <c r="AB85" s="69"/>
      <c r="AC85" s="69"/>
      <c r="AD85" s="69"/>
      <c r="AE85" s="69"/>
    </row>
    <row r="86" spans="1:31" s="21" customFormat="1" ht="60" customHeight="1">
      <c r="A86" s="167"/>
      <c r="B86" s="705" t="s">
        <v>676</v>
      </c>
      <c r="C86" s="706"/>
      <c r="D86" s="706"/>
      <c r="E86" s="706"/>
      <c r="F86" s="706"/>
      <c r="G86" s="168"/>
      <c r="H86" s="168"/>
      <c r="I86" s="168"/>
      <c r="J86" s="168"/>
      <c r="K86" s="168"/>
      <c r="L86" s="503" t="s">
        <v>172</v>
      </c>
      <c r="M86" s="503"/>
      <c r="N86" s="503"/>
      <c r="O86" s="503"/>
      <c r="P86" s="503"/>
      <c r="Q86" s="169"/>
      <c r="R86" s="169"/>
      <c r="S86" s="169"/>
      <c r="T86" s="311"/>
      <c r="U86" s="311"/>
      <c r="V86" s="707" t="s">
        <v>617</v>
      </c>
      <c r="W86" s="708"/>
      <c r="X86" s="708"/>
      <c r="Y86" s="708"/>
      <c r="Z86" s="708"/>
      <c r="AA86" s="167"/>
      <c r="AB86" s="167"/>
      <c r="AC86" s="167"/>
      <c r="AD86" s="167"/>
      <c r="AE86" s="167"/>
    </row>
    <row r="87" spans="1:31" s="255" customFormat="1" ht="19.5" customHeight="1">
      <c r="A87" s="257"/>
      <c r="B87" s="170"/>
      <c r="C87" s="257" t="s">
        <v>73</v>
      </c>
      <c r="D87" s="257"/>
      <c r="E87" s="66"/>
      <c r="F87" s="66"/>
      <c r="G87" s="66"/>
      <c r="H87" s="66"/>
      <c r="I87" s="66"/>
      <c r="J87" s="66"/>
      <c r="K87" s="66"/>
      <c r="L87" s="257"/>
      <c r="M87" s="170"/>
      <c r="N87" s="258" t="s">
        <v>74</v>
      </c>
      <c r="O87" s="170"/>
      <c r="P87" s="257"/>
      <c r="Q87" s="66"/>
      <c r="R87" s="66"/>
      <c r="S87" s="66"/>
      <c r="T87" s="301"/>
      <c r="U87" s="301"/>
      <c r="V87" s="498" t="s">
        <v>112</v>
      </c>
      <c r="W87" s="498"/>
      <c r="X87" s="498"/>
      <c r="Y87" s="498"/>
      <c r="Z87" s="498"/>
      <c r="AA87" s="257"/>
      <c r="AB87" s="257"/>
      <c r="AC87" s="257"/>
      <c r="AD87" s="257"/>
      <c r="AE87" s="257"/>
    </row>
    <row r="88" spans="1:31" ht="20.100000000000001" customHeight="1">
      <c r="A88" s="69"/>
      <c r="B88" s="171"/>
      <c r="C88" s="171"/>
      <c r="D88" s="171"/>
      <c r="E88" s="171"/>
      <c r="F88" s="171"/>
      <c r="G88" s="171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312"/>
      <c r="U88" s="312"/>
      <c r="V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 ht="20.100000000000001" customHeight="1">
      <c r="A89" s="69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312"/>
      <c r="U89" s="312"/>
      <c r="V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>
      <c r="A90" s="69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312"/>
      <c r="U90" s="312"/>
      <c r="V90" s="69"/>
      <c r="W90" s="69"/>
      <c r="X90" s="69"/>
      <c r="Y90" s="69"/>
      <c r="Z90" s="69"/>
      <c r="AA90" s="69"/>
      <c r="AB90" s="69"/>
      <c r="AC90" s="69"/>
      <c r="AD90" s="69"/>
      <c r="AE90" s="69"/>
    </row>
    <row r="91" spans="1:31" s="704" customFormat="1" ht="19.149999999999999" customHeight="1">
      <c r="A91" s="703" t="s">
        <v>362</v>
      </c>
    </row>
    <row r="94" spans="1:31" ht="19.5">
      <c r="B94" s="22"/>
    </row>
    <row r="95" spans="1:31" ht="19.5">
      <c r="B95" s="22"/>
    </row>
    <row r="96" spans="1:31" ht="19.5">
      <c r="B96" s="22"/>
    </row>
    <row r="97" spans="2:2" ht="19.5">
      <c r="B97" s="22"/>
    </row>
    <row r="98" spans="2:2" ht="19.5">
      <c r="B98" s="22"/>
    </row>
    <row r="99" spans="2:2" ht="19.5">
      <c r="B99" s="22"/>
    </row>
    <row r="100" spans="2:2" ht="19.5">
      <c r="B100" s="22"/>
    </row>
  </sheetData>
  <mergeCells count="284">
    <mergeCell ref="I81:J81"/>
    <mergeCell ref="Z80:AE80"/>
    <mergeCell ref="Z79:AE79"/>
    <mergeCell ref="S82:T82"/>
    <mergeCell ref="S83:T83"/>
    <mergeCell ref="O83:P83"/>
    <mergeCell ref="Q83:R83"/>
    <mergeCell ref="Q82:R82"/>
    <mergeCell ref="I84:J84"/>
    <mergeCell ref="I82:J82"/>
    <mergeCell ref="K83:L83"/>
    <mergeCell ref="K82:L82"/>
    <mergeCell ref="Z82:AE82"/>
    <mergeCell ref="Q84:R84"/>
    <mergeCell ref="M84:N84"/>
    <mergeCell ref="K84:L84"/>
    <mergeCell ref="I80:J80"/>
    <mergeCell ref="K80:L80"/>
    <mergeCell ref="I83:J83"/>
    <mergeCell ref="Q81:R81"/>
    <mergeCell ref="U83:Y83"/>
    <mergeCell ref="U81:Y81"/>
    <mergeCell ref="U84:Y84"/>
    <mergeCell ref="O84:P84"/>
    <mergeCell ref="A84:D84"/>
    <mergeCell ref="C79:D79"/>
    <mergeCell ref="E79:F79"/>
    <mergeCell ref="G82:H82"/>
    <mergeCell ref="G83:H83"/>
    <mergeCell ref="E84:F84"/>
    <mergeCell ref="E82:F82"/>
    <mergeCell ref="C82:D82"/>
    <mergeCell ref="C83:D83"/>
    <mergeCell ref="E83:F83"/>
    <mergeCell ref="G81:H81"/>
    <mergeCell ref="G84:H84"/>
    <mergeCell ref="C81:D81"/>
    <mergeCell ref="C80:D80"/>
    <mergeCell ref="E81:F81"/>
    <mergeCell ref="E80:F80"/>
    <mergeCell ref="S81:T81"/>
    <mergeCell ref="S79:T79"/>
    <mergeCell ref="K81:L81"/>
    <mergeCell ref="M81:N81"/>
    <mergeCell ref="M79:N79"/>
    <mergeCell ref="S80:T80"/>
    <mergeCell ref="O78:P78"/>
    <mergeCell ref="O81:P81"/>
    <mergeCell ref="Z84:AE84"/>
    <mergeCell ref="M83:N83"/>
    <mergeCell ref="O82:P82"/>
    <mergeCell ref="M82:N82"/>
    <mergeCell ref="Z83:AE83"/>
    <mergeCell ref="U82:Y82"/>
    <mergeCell ref="S84:T84"/>
    <mergeCell ref="U76:Y76"/>
    <mergeCell ref="O75:P75"/>
    <mergeCell ref="I77:J77"/>
    <mergeCell ref="I76:J76"/>
    <mergeCell ref="K76:L76"/>
    <mergeCell ref="M77:N77"/>
    <mergeCell ref="O80:P80"/>
    <mergeCell ref="Q78:R78"/>
    <mergeCell ref="Q75:R75"/>
    <mergeCell ref="S75:T75"/>
    <mergeCell ref="U80:Y80"/>
    <mergeCell ref="S78:T78"/>
    <mergeCell ref="S76:T76"/>
    <mergeCell ref="O76:P76"/>
    <mergeCell ref="Q77:R77"/>
    <mergeCell ref="O77:P77"/>
    <mergeCell ref="Q76:R76"/>
    <mergeCell ref="S77:T77"/>
    <mergeCell ref="K77:L77"/>
    <mergeCell ref="I79:J79"/>
    <mergeCell ref="I78:J78"/>
    <mergeCell ref="K78:L78"/>
    <mergeCell ref="U73:Y75"/>
    <mergeCell ref="Z77:AE77"/>
    <mergeCell ref="Z76:AE76"/>
    <mergeCell ref="Z73:AE75"/>
    <mergeCell ref="M74:N75"/>
    <mergeCell ref="G73:H75"/>
    <mergeCell ref="I73:J75"/>
    <mergeCell ref="O74:T74"/>
    <mergeCell ref="A91:XFD91"/>
    <mergeCell ref="V87:Z87"/>
    <mergeCell ref="B86:F86"/>
    <mergeCell ref="L86:P86"/>
    <mergeCell ref="V86:Z86"/>
    <mergeCell ref="Z81:AE81"/>
    <mergeCell ref="G76:H76"/>
    <mergeCell ref="O79:P79"/>
    <mergeCell ref="K79:L79"/>
    <mergeCell ref="Q79:R79"/>
    <mergeCell ref="M76:N76"/>
    <mergeCell ref="U79:Y79"/>
    <mergeCell ref="Z78:AE78"/>
    <mergeCell ref="U78:Y78"/>
    <mergeCell ref="Q80:R80"/>
    <mergeCell ref="E73:F75"/>
    <mergeCell ref="U77:Y77"/>
    <mergeCell ref="B46:F46"/>
    <mergeCell ref="B55:F55"/>
    <mergeCell ref="A68:F68"/>
    <mergeCell ref="M80:N80"/>
    <mergeCell ref="A73:A75"/>
    <mergeCell ref="C73:D75"/>
    <mergeCell ref="B73:B75"/>
    <mergeCell ref="G80:H80"/>
    <mergeCell ref="K73:T73"/>
    <mergeCell ref="M78:N78"/>
    <mergeCell ref="G77:H77"/>
    <mergeCell ref="G78:H78"/>
    <mergeCell ref="G79:H79"/>
    <mergeCell ref="E76:F76"/>
    <mergeCell ref="C76:D76"/>
    <mergeCell ref="C78:D78"/>
    <mergeCell ref="E78:F78"/>
    <mergeCell ref="C77:D77"/>
    <mergeCell ref="E77:F77"/>
    <mergeCell ref="K74:L75"/>
    <mergeCell ref="B58:F58"/>
    <mergeCell ref="B59:F59"/>
    <mergeCell ref="B61:F61"/>
    <mergeCell ref="B60:F60"/>
    <mergeCell ref="A67:F67"/>
    <mergeCell ref="B66:F66"/>
    <mergeCell ref="B47:F47"/>
    <mergeCell ref="B53:F53"/>
    <mergeCell ref="B48:F48"/>
    <mergeCell ref="B52:F52"/>
    <mergeCell ref="B51:F51"/>
    <mergeCell ref="B49:F49"/>
    <mergeCell ref="B50:F50"/>
    <mergeCell ref="B62:F62"/>
    <mergeCell ref="B63:F63"/>
    <mergeCell ref="B64:F64"/>
    <mergeCell ref="B57:F57"/>
    <mergeCell ref="B56:F56"/>
    <mergeCell ref="B54:F54"/>
    <mergeCell ref="B44:F44"/>
    <mergeCell ref="C22:F22"/>
    <mergeCell ref="C21:F21"/>
    <mergeCell ref="B31:F31"/>
    <mergeCell ref="B45:F45"/>
    <mergeCell ref="B39:F39"/>
    <mergeCell ref="B38:F38"/>
    <mergeCell ref="B40:F40"/>
    <mergeCell ref="B37:F37"/>
    <mergeCell ref="B28:F30"/>
    <mergeCell ref="B36:AE36"/>
    <mergeCell ref="B41:F41"/>
    <mergeCell ref="A43:AE43"/>
    <mergeCell ref="M29:P29"/>
    <mergeCell ref="A23:M23"/>
    <mergeCell ref="A28:A30"/>
    <mergeCell ref="L29:L30"/>
    <mergeCell ref="G22:M22"/>
    <mergeCell ref="N22:P22"/>
    <mergeCell ref="H29:K29"/>
    <mergeCell ref="G28:K28"/>
    <mergeCell ref="G29:G30"/>
    <mergeCell ref="AA29:AA30"/>
    <mergeCell ref="B42:F42"/>
    <mergeCell ref="AB29:AE29"/>
    <mergeCell ref="N19:P19"/>
    <mergeCell ref="L28:P28"/>
    <mergeCell ref="G19:M19"/>
    <mergeCell ref="V28:Z28"/>
    <mergeCell ref="AC20:AE20"/>
    <mergeCell ref="AC21:AE21"/>
    <mergeCell ref="AC23:AE23"/>
    <mergeCell ref="Z21:AB21"/>
    <mergeCell ref="W21:Y21"/>
    <mergeCell ref="AC19:AE19"/>
    <mergeCell ref="W19:Y19"/>
    <mergeCell ref="N15:P17"/>
    <mergeCell ref="Z20:AB20"/>
    <mergeCell ref="T20:V20"/>
    <mergeCell ref="T23:V23"/>
    <mergeCell ref="W18:Y18"/>
    <mergeCell ref="W23:Y23"/>
    <mergeCell ref="C19:F19"/>
    <mergeCell ref="W20:Y20"/>
    <mergeCell ref="T18:V18"/>
    <mergeCell ref="Q21:S21"/>
    <mergeCell ref="W22:Y22"/>
    <mergeCell ref="G20:M20"/>
    <mergeCell ref="N21:P21"/>
    <mergeCell ref="Q23:S23"/>
    <mergeCell ref="T21:V21"/>
    <mergeCell ref="T22:V22"/>
    <mergeCell ref="Z19:AB19"/>
    <mergeCell ref="G18:M18"/>
    <mergeCell ref="N18:P18"/>
    <mergeCell ref="Z18:AB18"/>
    <mergeCell ref="Q20:S20"/>
    <mergeCell ref="Q19:S19"/>
    <mergeCell ref="N20:P20"/>
    <mergeCell ref="AB1:AE1"/>
    <mergeCell ref="AC15:AE17"/>
    <mergeCell ref="AC4:AE5"/>
    <mergeCell ref="AC6:AE6"/>
    <mergeCell ref="AC7:AE7"/>
    <mergeCell ref="Z6:AB6"/>
    <mergeCell ref="AD3:AE3"/>
    <mergeCell ref="N4:Y4"/>
    <mergeCell ref="V8:Y8"/>
    <mergeCell ref="V9:Y9"/>
    <mergeCell ref="Z8:AB8"/>
    <mergeCell ref="W16:Y17"/>
    <mergeCell ref="Z10:AB10"/>
    <mergeCell ref="Z9:AB9"/>
    <mergeCell ref="Z15:AB17"/>
    <mergeCell ref="R9:U9"/>
    <mergeCell ref="AC8:AE8"/>
    <mergeCell ref="AC9:AE9"/>
    <mergeCell ref="N10:Q10"/>
    <mergeCell ref="N7:Q7"/>
    <mergeCell ref="AC10:AE10"/>
    <mergeCell ref="R11:U11"/>
    <mergeCell ref="R8:U8"/>
    <mergeCell ref="Q15:Y15"/>
    <mergeCell ref="B33:F33"/>
    <mergeCell ref="A32:AE32"/>
    <mergeCell ref="C9:F9"/>
    <mergeCell ref="R6:U6"/>
    <mergeCell ref="AA28:AE28"/>
    <mergeCell ref="AC22:AE22"/>
    <mergeCell ref="B15:B17"/>
    <mergeCell ref="C15:F17"/>
    <mergeCell ref="Z7:AB7"/>
    <mergeCell ref="Q28:U28"/>
    <mergeCell ref="Z22:AB22"/>
    <mergeCell ref="N23:P23"/>
    <mergeCell ref="Z23:AB23"/>
    <mergeCell ref="C7:F7"/>
    <mergeCell ref="G7:M7"/>
    <mergeCell ref="C8:F8"/>
    <mergeCell ref="G10:M10"/>
    <mergeCell ref="AC11:AE11"/>
    <mergeCell ref="Q22:S22"/>
    <mergeCell ref="G21:M21"/>
    <mergeCell ref="T16:V17"/>
    <mergeCell ref="T19:V19"/>
    <mergeCell ref="G15:M17"/>
    <mergeCell ref="Q18:S18"/>
    <mergeCell ref="AC18:AE18"/>
    <mergeCell ref="B34:F34"/>
    <mergeCell ref="B35:F35"/>
    <mergeCell ref="A4:A5"/>
    <mergeCell ref="B4:B5"/>
    <mergeCell ref="C4:F5"/>
    <mergeCell ref="G4:M5"/>
    <mergeCell ref="N6:Q6"/>
    <mergeCell ref="R10:U10"/>
    <mergeCell ref="V10:Y10"/>
    <mergeCell ref="V11:Y11"/>
    <mergeCell ref="C6:F6"/>
    <mergeCell ref="C10:F10"/>
    <mergeCell ref="G9:M9"/>
    <mergeCell ref="A11:M11"/>
    <mergeCell ref="A15:A17"/>
    <mergeCell ref="W29:Z29"/>
    <mergeCell ref="R29:U29"/>
    <mergeCell ref="C20:F20"/>
    <mergeCell ref="Q29:Q30"/>
    <mergeCell ref="V29:V30"/>
    <mergeCell ref="C18:F18"/>
    <mergeCell ref="Q16:S17"/>
    <mergeCell ref="Z4:AB5"/>
    <mergeCell ref="Z11:AB11"/>
    <mergeCell ref="N5:Q5"/>
    <mergeCell ref="R7:U7"/>
    <mergeCell ref="V5:Y5"/>
    <mergeCell ref="V7:Y7"/>
    <mergeCell ref="V6:Y6"/>
    <mergeCell ref="R5:U5"/>
    <mergeCell ref="G6:M6"/>
    <mergeCell ref="N8:Q8"/>
    <mergeCell ref="N9:Q9"/>
    <mergeCell ref="G8:M8"/>
    <mergeCell ref="N11:Q11"/>
  </mergeCells>
  <phoneticPr fontId="3" type="noConversion"/>
  <pageMargins left="0.59055118110236227" right="0.39370078740157483" top="0.59055118110236227" bottom="0.59055118110236227" header="0.47244094488188981" footer="0.31496062992125984"/>
  <pageSetup paperSize="9" scale="33" orientation="landscape" verticalDpi="1200" r:id="rId1"/>
  <headerFooter alignWithMargins="0"/>
  <ignoredErrors>
    <ignoredError sqref="E84:T84 N11 R11:Y11 Q23 T23 W23 H67:K67" formulaRange="1"/>
    <ignoredError sqref="G68:U68 Z7:AE11 Z19:AE23 AC68:AE68 W68:Z68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J20"/>
  <sheetViews>
    <sheetView tabSelected="1" view="pageBreakPreview" zoomScale="75" zoomScaleNormal="75" zoomScaleSheetLayoutView="75" workbookViewId="0">
      <selection activeCell="C16" sqref="C16:F16"/>
    </sheetView>
  </sheetViews>
  <sheetFormatPr defaultRowHeight="12.75"/>
  <cols>
    <col min="1" max="1" width="39.5703125" customWidth="1"/>
    <col min="2" max="2" width="10.85546875" customWidth="1"/>
    <col min="3" max="3" width="18" customWidth="1"/>
    <col min="4" max="4" width="18.42578125" customWidth="1"/>
    <col min="5" max="5" width="18.7109375" customWidth="1"/>
    <col min="6" max="6" width="17.7109375" customWidth="1"/>
    <col min="7" max="7" width="16.28515625" customWidth="1"/>
    <col min="8" max="8" width="14" customWidth="1"/>
    <col min="9" max="9" width="14.85546875" customWidth="1"/>
    <col min="10" max="10" width="14" customWidth="1"/>
  </cols>
  <sheetData>
    <row r="1" spans="1:10">
      <c r="H1" s="716"/>
      <c r="I1" s="716"/>
      <c r="J1" s="716"/>
    </row>
    <row r="2" spans="1:10" ht="18.75">
      <c r="A2" s="75"/>
      <c r="I2" s="717" t="s">
        <v>402</v>
      </c>
      <c r="J2" s="717"/>
    </row>
    <row r="3" spans="1:10" ht="18.75">
      <c r="A3" s="477" t="s">
        <v>379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" ht="18.75">
      <c r="A4" s="562" t="s">
        <v>375</v>
      </c>
      <c r="B4" s="562"/>
      <c r="C4" s="562"/>
      <c r="D4" s="562"/>
      <c r="E4" s="562"/>
      <c r="F4" s="562"/>
      <c r="G4" s="562"/>
      <c r="H4" s="562"/>
      <c r="I4" s="562"/>
      <c r="J4" s="562"/>
    </row>
    <row r="5" spans="1:10" ht="18.75" customHeight="1">
      <c r="A5" s="489" t="s">
        <v>179</v>
      </c>
      <c r="B5" s="485" t="s">
        <v>17</v>
      </c>
      <c r="C5" s="485"/>
      <c r="D5" s="485"/>
      <c r="E5" s="721"/>
      <c r="F5" s="485" t="s">
        <v>512</v>
      </c>
      <c r="G5" s="480" t="s">
        <v>376</v>
      </c>
      <c r="H5" s="481"/>
      <c r="I5" s="481"/>
      <c r="J5" s="482"/>
    </row>
    <row r="6" spans="1:10" ht="128.25" customHeight="1">
      <c r="A6" s="489"/>
      <c r="B6" s="486"/>
      <c r="C6" s="486"/>
      <c r="D6" s="486"/>
      <c r="E6" s="722"/>
      <c r="F6" s="486"/>
      <c r="G6" s="12" t="s">
        <v>141</v>
      </c>
      <c r="H6" s="12" t="s">
        <v>142</v>
      </c>
      <c r="I6" s="12" t="s">
        <v>143</v>
      </c>
      <c r="J6" s="12" t="s">
        <v>68</v>
      </c>
    </row>
    <row r="7" spans="1:10" ht="18.7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</row>
    <row r="8" spans="1:10" ht="18.75" customHeight="1">
      <c r="A8" s="718" t="s">
        <v>378</v>
      </c>
      <c r="B8" s="719"/>
      <c r="C8" s="719"/>
      <c r="D8" s="719"/>
      <c r="E8" s="719"/>
      <c r="F8" s="719"/>
      <c r="G8" s="719"/>
      <c r="H8" s="719"/>
      <c r="I8" s="719"/>
      <c r="J8" s="720"/>
    </row>
    <row r="9" spans="1:10" ht="39.75" customHeight="1">
      <c r="A9" s="87" t="s">
        <v>380</v>
      </c>
      <c r="B9" s="130">
        <v>6000</v>
      </c>
      <c r="C9" s="83">
        <f>SUM(C11:C12)</f>
        <v>0</v>
      </c>
      <c r="D9" s="83">
        <f t="shared" ref="D9:J9" si="0">SUM(D11:D12)</f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  <c r="H9" s="83">
        <f t="shared" si="0"/>
        <v>0</v>
      </c>
      <c r="I9" s="83">
        <f t="shared" si="0"/>
        <v>0</v>
      </c>
      <c r="J9" s="83">
        <f t="shared" si="0"/>
        <v>0</v>
      </c>
    </row>
    <row r="10" spans="1:10" ht="19.5" customHeight="1">
      <c r="A10" s="651" t="s">
        <v>382</v>
      </c>
      <c r="B10" s="714"/>
      <c r="C10" s="714"/>
      <c r="D10" s="714"/>
      <c r="E10" s="714"/>
      <c r="F10" s="714"/>
      <c r="G10" s="714"/>
      <c r="H10" s="714"/>
      <c r="I10" s="714"/>
      <c r="J10" s="715"/>
    </row>
    <row r="11" spans="1:10" ht="57" customHeight="1">
      <c r="A11" s="87" t="s">
        <v>383</v>
      </c>
      <c r="B11" s="130">
        <v>6010</v>
      </c>
      <c r="C11" s="81"/>
      <c r="D11" s="81"/>
      <c r="E11" s="81"/>
      <c r="F11" s="81">
        <f>SUM(G11:J11)</f>
        <v>0</v>
      </c>
      <c r="G11" s="81"/>
      <c r="H11" s="81"/>
      <c r="I11" s="81"/>
      <c r="J11" s="81"/>
    </row>
    <row r="12" spans="1:10" ht="37.5" customHeight="1">
      <c r="A12" s="87" t="s">
        <v>381</v>
      </c>
      <c r="B12" s="131">
        <v>6020</v>
      </c>
      <c r="C12" s="81"/>
      <c r="D12" s="81"/>
      <c r="E12" s="81"/>
      <c r="F12" s="81">
        <f>SUM(G12:J12)</f>
        <v>0</v>
      </c>
      <c r="G12" s="81"/>
      <c r="H12" s="81"/>
      <c r="I12" s="81"/>
      <c r="J12" s="81"/>
    </row>
    <row r="13" spans="1:10" ht="18.75">
      <c r="A13" s="59"/>
      <c r="B13" s="59"/>
      <c r="C13" s="59"/>
      <c r="D13" s="59"/>
      <c r="E13" s="59"/>
      <c r="F13" s="132"/>
      <c r="G13" s="132"/>
      <c r="H13" s="132"/>
      <c r="I13" s="132"/>
      <c r="J13" s="132"/>
    </row>
    <row r="14" spans="1:10" ht="18.75">
      <c r="A14" s="59"/>
      <c r="B14" s="59"/>
      <c r="C14" s="59"/>
      <c r="D14" s="59"/>
      <c r="E14" s="59" t="s">
        <v>408</v>
      </c>
      <c r="F14" s="132"/>
      <c r="G14" s="132"/>
      <c r="H14" s="132"/>
      <c r="I14" s="132"/>
      <c r="J14" s="132"/>
    </row>
    <row r="15" spans="1:10" ht="18.75">
      <c r="A15" s="65"/>
      <c r="B15" s="69"/>
      <c r="C15" s="59"/>
      <c r="D15" s="59"/>
      <c r="E15" s="59"/>
      <c r="F15" s="59"/>
      <c r="G15" s="59"/>
      <c r="H15" s="59"/>
      <c r="I15" s="59"/>
      <c r="J15" s="59"/>
    </row>
    <row r="16" spans="1:10" ht="37.5" customHeight="1">
      <c r="A16" s="571" t="s">
        <v>735</v>
      </c>
      <c r="B16" s="571"/>
      <c r="C16" s="711" t="s">
        <v>96</v>
      </c>
      <c r="D16" s="712"/>
      <c r="E16" s="712"/>
      <c r="F16" s="712"/>
      <c r="G16" s="110"/>
      <c r="H16" s="545" t="s">
        <v>617</v>
      </c>
      <c r="I16" s="545"/>
      <c r="J16" s="545"/>
    </row>
    <row r="17" spans="1:10" ht="18.75">
      <c r="A17" s="61" t="s">
        <v>73</v>
      </c>
      <c r="B17" s="59"/>
      <c r="C17" s="503" t="s">
        <v>74</v>
      </c>
      <c r="D17" s="503"/>
      <c r="E17" s="503"/>
      <c r="F17" s="503"/>
      <c r="G17" s="64"/>
      <c r="H17" s="498" t="s">
        <v>92</v>
      </c>
      <c r="I17" s="498"/>
      <c r="J17" s="498"/>
    </row>
    <row r="20" spans="1:10" ht="18.75">
      <c r="A20" s="188" t="s">
        <v>432</v>
      </c>
      <c r="B20" s="189"/>
      <c r="C20" s="189"/>
      <c r="D20" s="189"/>
      <c r="E20" s="189"/>
      <c r="F20" s="189"/>
      <c r="G20" s="189"/>
      <c r="H20" s="713" t="s">
        <v>433</v>
      </c>
      <c r="I20" s="713"/>
      <c r="J20" s="713"/>
    </row>
  </sheetData>
  <mergeCells count="19">
    <mergeCell ref="H1:J1"/>
    <mergeCell ref="I2:J2"/>
    <mergeCell ref="A8:J8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7:J17"/>
    <mergeCell ref="C16:F16"/>
    <mergeCell ref="H16:J16"/>
    <mergeCell ref="H20:J20"/>
    <mergeCell ref="A10:J10"/>
    <mergeCell ref="A16:B16"/>
    <mergeCell ref="C17:F1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27"/>
  <sheetViews>
    <sheetView view="pageBreakPreview" topLeftCell="A119" zoomScale="60" zoomScaleNormal="75" workbookViewId="0">
      <selection activeCell="E30" sqref="E30"/>
    </sheetView>
  </sheetViews>
  <sheetFormatPr defaultColWidth="9.140625" defaultRowHeight="18.75"/>
  <cols>
    <col min="1" max="1" width="86.7109375" style="429" customWidth="1"/>
    <col min="2" max="2" width="14.85546875" style="430" customWidth="1"/>
    <col min="3" max="3" width="18.140625" style="430" customWidth="1"/>
    <col min="4" max="4" width="18" style="430" customWidth="1"/>
    <col min="5" max="5" width="18.5703125" style="430" customWidth="1"/>
    <col min="6" max="6" width="19.140625" style="429" customWidth="1"/>
    <col min="7" max="7" width="18" style="429" customWidth="1"/>
    <col min="8" max="8" width="18.42578125" style="429" customWidth="1"/>
    <col min="9" max="9" width="19" style="429" customWidth="1"/>
    <col min="10" max="10" width="18.140625" style="429" customWidth="1"/>
    <col min="11" max="11" width="43.7109375" style="429" customWidth="1"/>
    <col min="12" max="16384" width="9.140625" style="429"/>
  </cols>
  <sheetData>
    <row r="1" spans="1:11">
      <c r="K1" s="431" t="s">
        <v>407</v>
      </c>
    </row>
    <row r="2" spans="1:11">
      <c r="A2" s="506" t="s">
        <v>184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>
      <c r="A3" s="432"/>
      <c r="B3" s="433"/>
      <c r="C3" s="432"/>
      <c r="D3" s="432"/>
      <c r="E3" s="433"/>
      <c r="F3" s="432"/>
      <c r="G3" s="432"/>
      <c r="H3" s="432"/>
      <c r="I3" s="432"/>
      <c r="K3" s="434" t="s">
        <v>377</v>
      </c>
    </row>
    <row r="4" spans="1:11" ht="36" customHeight="1">
      <c r="A4" s="507" t="s">
        <v>179</v>
      </c>
      <c r="B4" s="508" t="s">
        <v>17</v>
      </c>
      <c r="C4" s="508"/>
      <c r="D4" s="508"/>
      <c r="E4" s="509"/>
      <c r="F4" s="508" t="s">
        <v>512</v>
      </c>
      <c r="G4" s="508" t="s">
        <v>376</v>
      </c>
      <c r="H4" s="508"/>
      <c r="I4" s="508"/>
      <c r="J4" s="508"/>
      <c r="K4" s="508" t="s">
        <v>168</v>
      </c>
    </row>
    <row r="5" spans="1:11" ht="91.5" customHeight="1">
      <c r="A5" s="507"/>
      <c r="B5" s="508"/>
      <c r="C5" s="508"/>
      <c r="D5" s="508"/>
      <c r="E5" s="509"/>
      <c r="F5" s="508"/>
      <c r="G5" s="435" t="s">
        <v>141</v>
      </c>
      <c r="H5" s="435" t="s">
        <v>142</v>
      </c>
      <c r="I5" s="435" t="s">
        <v>143</v>
      </c>
      <c r="J5" s="435" t="s">
        <v>68</v>
      </c>
      <c r="K5" s="508"/>
    </row>
    <row r="6" spans="1:11" ht="18" customHeight="1">
      <c r="A6" s="409">
        <v>1</v>
      </c>
      <c r="B6" s="383">
        <v>2</v>
      </c>
      <c r="C6" s="383">
        <v>3</v>
      </c>
      <c r="D6" s="383">
        <v>4</v>
      </c>
      <c r="E6" s="383">
        <v>5</v>
      </c>
      <c r="F6" s="383">
        <v>6</v>
      </c>
      <c r="G6" s="383">
        <v>7</v>
      </c>
      <c r="H6" s="383">
        <v>8</v>
      </c>
      <c r="I6" s="383">
        <v>9</v>
      </c>
      <c r="J6" s="383">
        <v>10</v>
      </c>
      <c r="K6" s="383">
        <v>11</v>
      </c>
    </row>
    <row r="7" spans="1:11" s="423" customFormat="1" ht="20.100000000000001" customHeight="1">
      <c r="A7" s="512" t="s">
        <v>183</v>
      </c>
      <c r="B7" s="513"/>
      <c r="C7" s="513"/>
      <c r="D7" s="513"/>
      <c r="E7" s="513"/>
      <c r="F7" s="513"/>
      <c r="G7" s="513"/>
      <c r="H7" s="513"/>
      <c r="I7" s="513"/>
      <c r="J7" s="513"/>
      <c r="K7" s="514"/>
    </row>
    <row r="8" spans="1:11" s="423" customFormat="1" ht="19.5" thickBot="1">
      <c r="A8" s="411" t="s">
        <v>153</v>
      </c>
      <c r="B8" s="436">
        <v>1000</v>
      </c>
      <c r="C8" s="202"/>
      <c r="D8" s="202"/>
      <c r="E8" s="202"/>
      <c r="F8" s="202">
        <f>SUM(G8:J8)</f>
        <v>236.39999999999998</v>
      </c>
      <c r="G8" s="437">
        <v>50.3</v>
      </c>
      <c r="H8" s="437">
        <v>52.5</v>
      </c>
      <c r="I8" s="438">
        <v>65.900000000000006</v>
      </c>
      <c r="J8" s="438">
        <v>67.7</v>
      </c>
      <c r="K8" s="439"/>
    </row>
    <row r="9" spans="1:11" s="423" customFormat="1" ht="18.75" customHeight="1">
      <c r="A9" s="411" t="s">
        <v>134</v>
      </c>
      <c r="B9" s="436">
        <v>1010</v>
      </c>
      <c r="C9" s="202">
        <f>SUM(C10:C17)</f>
        <v>0</v>
      </c>
      <c r="D9" s="202">
        <f>SUM(D10:D17)</f>
        <v>0</v>
      </c>
      <c r="E9" s="202">
        <f>SUM(E10:E17)</f>
        <v>0</v>
      </c>
      <c r="F9" s="202">
        <f>SUM(G9:J9)</f>
        <v>-28684.200000000004</v>
      </c>
      <c r="G9" s="202">
        <f>(G10+G11+G12+G13+G14+G15+G16+G17)</f>
        <v>-7088.1</v>
      </c>
      <c r="H9" s="202">
        <f>(H10+H11+H12+H13+H14+H15+H16+H17)</f>
        <v>-7904.1</v>
      </c>
      <c r="I9" s="202">
        <f>(I10+I11+I12+I13+I14+I15+I16+I17)</f>
        <v>-6687.1</v>
      </c>
      <c r="J9" s="202">
        <f>(J10+J11+J12+J13+J14+J15+J16+J17)</f>
        <v>-7004.9</v>
      </c>
      <c r="K9" s="439"/>
    </row>
    <row r="10" spans="1:11" s="441" customFormat="1" ht="20.100000000000001" customHeight="1">
      <c r="A10" s="201" t="s">
        <v>338</v>
      </c>
      <c r="B10" s="383">
        <v>1011</v>
      </c>
      <c r="C10" s="199" t="s">
        <v>220</v>
      </c>
      <c r="D10" s="199" t="s">
        <v>220</v>
      </c>
      <c r="E10" s="199" t="s">
        <v>220</v>
      </c>
      <c r="F10" s="199">
        <f>SUM(G10:J10)</f>
        <v>0</v>
      </c>
      <c r="G10" s="199">
        <v>0</v>
      </c>
      <c r="H10" s="199">
        <v>0</v>
      </c>
      <c r="I10" s="199">
        <v>0</v>
      </c>
      <c r="J10" s="199">
        <v>0</v>
      </c>
      <c r="K10" s="440"/>
    </row>
    <row r="11" spans="1:11" s="441" customFormat="1" ht="20.100000000000001" customHeight="1">
      <c r="A11" s="201" t="s">
        <v>339</v>
      </c>
      <c r="B11" s="383">
        <v>1012</v>
      </c>
      <c r="C11" s="199" t="s">
        <v>220</v>
      </c>
      <c r="D11" s="199" t="s">
        <v>220</v>
      </c>
      <c r="E11" s="199" t="s">
        <v>220</v>
      </c>
      <c r="F11" s="199">
        <f t="shared" ref="F11:F17" si="0">SUM(G11:J11)</f>
        <v>0</v>
      </c>
      <c r="G11" s="199">
        <v>0</v>
      </c>
      <c r="H11" s="199">
        <v>0</v>
      </c>
      <c r="I11" s="199">
        <v>0</v>
      </c>
      <c r="J11" s="199">
        <v>0</v>
      </c>
      <c r="K11" s="440"/>
    </row>
    <row r="12" spans="1:11" s="441" customFormat="1" ht="20.100000000000001" customHeight="1">
      <c r="A12" s="201" t="s">
        <v>340</v>
      </c>
      <c r="B12" s="383">
        <v>1013</v>
      </c>
      <c r="C12" s="199" t="s">
        <v>220</v>
      </c>
      <c r="D12" s="199" t="s">
        <v>220</v>
      </c>
      <c r="E12" s="199" t="s">
        <v>220</v>
      </c>
      <c r="F12" s="199">
        <f t="shared" si="0"/>
        <v>0</v>
      </c>
      <c r="G12" s="199">
        <v>0</v>
      </c>
      <c r="H12" s="199">
        <v>0</v>
      </c>
      <c r="I12" s="199">
        <v>0</v>
      </c>
      <c r="J12" s="199">
        <v>0</v>
      </c>
      <c r="K12" s="440"/>
    </row>
    <row r="13" spans="1:11" s="441" customFormat="1" ht="20.100000000000001" customHeight="1">
      <c r="A13" s="201" t="s">
        <v>5</v>
      </c>
      <c r="B13" s="383">
        <v>1014</v>
      </c>
      <c r="C13" s="199" t="s">
        <v>220</v>
      </c>
      <c r="D13" s="199"/>
      <c r="E13" s="199"/>
      <c r="F13" s="199">
        <f>SUM(G13:J13)</f>
        <v>-23545.500000000004</v>
      </c>
      <c r="G13" s="199">
        <v>-5819.6</v>
      </c>
      <c r="H13" s="199">
        <v>-6519</v>
      </c>
      <c r="I13" s="199">
        <f>-5515.1-3.1</f>
        <v>-5518.2000000000007</v>
      </c>
      <c r="J13" s="199">
        <v>-5688.7</v>
      </c>
      <c r="K13" s="440"/>
    </row>
    <row r="14" spans="1:11" s="441" customFormat="1" ht="20.100000000000001" customHeight="1">
      <c r="A14" s="201" t="s">
        <v>6</v>
      </c>
      <c r="B14" s="383">
        <v>1015</v>
      </c>
      <c r="C14" s="199" t="s">
        <v>220</v>
      </c>
      <c r="D14" s="199"/>
      <c r="E14" s="199"/>
      <c r="F14" s="199">
        <f t="shared" si="0"/>
        <v>-5138.7</v>
      </c>
      <c r="G14" s="199">
        <v>-1268.5</v>
      </c>
      <c r="H14" s="199">
        <v>-1385.1</v>
      </c>
      <c r="I14" s="199">
        <f>-1168.2-0.7</f>
        <v>-1168.9000000000001</v>
      </c>
      <c r="J14" s="199">
        <v>-1316.2</v>
      </c>
      <c r="K14" s="440"/>
    </row>
    <row r="15" spans="1:11" s="441" customFormat="1" ht="39" customHeight="1">
      <c r="A15" s="201" t="s">
        <v>341</v>
      </c>
      <c r="B15" s="383">
        <v>1016</v>
      </c>
      <c r="C15" s="199" t="s">
        <v>220</v>
      </c>
      <c r="D15" s="199" t="s">
        <v>220</v>
      </c>
      <c r="E15" s="199" t="s">
        <v>220</v>
      </c>
      <c r="F15" s="199">
        <f t="shared" si="0"/>
        <v>0</v>
      </c>
      <c r="G15" s="199">
        <v>0</v>
      </c>
      <c r="H15" s="199">
        <v>0</v>
      </c>
      <c r="I15" s="199">
        <v>0</v>
      </c>
      <c r="J15" s="199">
        <v>0</v>
      </c>
      <c r="K15" s="440"/>
    </row>
    <row r="16" spans="1:11" s="441" customFormat="1" ht="20.100000000000001" customHeight="1">
      <c r="A16" s="201" t="s">
        <v>342</v>
      </c>
      <c r="B16" s="383">
        <v>1017</v>
      </c>
      <c r="C16" s="199" t="s">
        <v>220</v>
      </c>
      <c r="D16" s="199" t="s">
        <v>220</v>
      </c>
      <c r="E16" s="199" t="s">
        <v>220</v>
      </c>
      <c r="F16" s="199">
        <f t="shared" si="0"/>
        <v>0</v>
      </c>
      <c r="G16" s="199">
        <v>0</v>
      </c>
      <c r="H16" s="199">
        <v>0</v>
      </c>
      <c r="I16" s="199">
        <v>0</v>
      </c>
      <c r="J16" s="199">
        <v>0</v>
      </c>
      <c r="K16" s="440"/>
    </row>
    <row r="17" spans="1:11" s="441" customFormat="1" ht="20.100000000000001" customHeight="1">
      <c r="A17" s="201" t="s">
        <v>343</v>
      </c>
      <c r="B17" s="383">
        <v>1018</v>
      </c>
      <c r="C17" s="199" t="s">
        <v>220</v>
      </c>
      <c r="D17" s="199" t="s">
        <v>220</v>
      </c>
      <c r="E17" s="199" t="s">
        <v>220</v>
      </c>
      <c r="F17" s="199">
        <f t="shared" si="0"/>
        <v>0</v>
      </c>
      <c r="G17" s="199">
        <v>0</v>
      </c>
      <c r="H17" s="199">
        <v>0</v>
      </c>
      <c r="I17" s="199">
        <v>0</v>
      </c>
      <c r="J17" s="199">
        <v>0</v>
      </c>
      <c r="K17" s="440"/>
    </row>
    <row r="18" spans="1:11" s="423" customFormat="1" ht="20.100000000000001" customHeight="1">
      <c r="A18" s="411" t="s">
        <v>23</v>
      </c>
      <c r="B18" s="436">
        <v>1020</v>
      </c>
      <c r="C18" s="202">
        <f t="shared" ref="C18:I18" si="1">SUM(C8,C9)</f>
        <v>0</v>
      </c>
      <c r="D18" s="202">
        <f t="shared" si="1"/>
        <v>0</v>
      </c>
      <c r="E18" s="202">
        <f t="shared" si="1"/>
        <v>0</v>
      </c>
      <c r="F18" s="202">
        <f t="shared" si="1"/>
        <v>-28447.800000000003</v>
      </c>
      <c r="G18" s="202">
        <f t="shared" si="1"/>
        <v>-7037.8</v>
      </c>
      <c r="H18" s="202">
        <f t="shared" si="1"/>
        <v>-7851.6</v>
      </c>
      <c r="I18" s="202">
        <f t="shared" si="1"/>
        <v>-6621.2000000000007</v>
      </c>
      <c r="J18" s="202">
        <f>SUM(J8,J9)</f>
        <v>-6937.2</v>
      </c>
      <c r="K18" s="439"/>
    </row>
    <row r="19" spans="1:11" s="423" customFormat="1" ht="20.100000000000001" customHeight="1">
      <c r="A19" s="411" t="s">
        <v>164</v>
      </c>
      <c r="B19" s="436">
        <v>1030</v>
      </c>
      <c r="C19" s="202">
        <f>SUM(C20:C39,C41)</f>
        <v>0</v>
      </c>
      <c r="D19" s="202">
        <f>SUM(D20:D39,D41)</f>
        <v>0</v>
      </c>
      <c r="E19" s="202">
        <f>SUM(E20:E39,E41)</f>
        <v>0</v>
      </c>
      <c r="F19" s="202">
        <f t="shared" ref="F19:F74" si="2">SUM(G19:J19)</f>
        <v>-14158.2</v>
      </c>
      <c r="G19" s="202">
        <f>SUM(G20:G39,G41)</f>
        <v>-4404.7999999999993</v>
      </c>
      <c r="H19" s="202">
        <f>SUM(H20:H39,H41)</f>
        <v>-2990.6</v>
      </c>
      <c r="I19" s="202">
        <f>SUM(I20:I39,I41)</f>
        <v>-3214.5</v>
      </c>
      <c r="J19" s="202">
        <f>SUM(J20:J39,J41)</f>
        <v>-3548.3</v>
      </c>
      <c r="K19" s="439"/>
    </row>
    <row r="20" spans="1:11" ht="20.100000000000001" customHeight="1">
      <c r="A20" s="201" t="s">
        <v>98</v>
      </c>
      <c r="B20" s="442">
        <v>1031</v>
      </c>
      <c r="C20" s="199" t="s">
        <v>220</v>
      </c>
      <c r="D20" s="199"/>
      <c r="E20" s="199"/>
      <c r="F20" s="199">
        <f t="shared" si="2"/>
        <v>-202.89999999999998</v>
      </c>
      <c r="G20" s="199">
        <v>-19.899999999999999</v>
      </c>
      <c r="H20" s="199">
        <v>-58.4</v>
      </c>
      <c r="I20" s="199">
        <v>-73.099999999999994</v>
      </c>
      <c r="J20" s="199">
        <v>-51.5</v>
      </c>
      <c r="K20" s="440"/>
    </row>
    <row r="21" spans="1:11" ht="20.100000000000001" customHeight="1">
      <c r="A21" s="201" t="s">
        <v>154</v>
      </c>
      <c r="B21" s="442">
        <v>1032</v>
      </c>
      <c r="C21" s="199" t="s">
        <v>220</v>
      </c>
      <c r="D21" s="199" t="s">
        <v>220</v>
      </c>
      <c r="E21" s="199" t="s">
        <v>220</v>
      </c>
      <c r="F21" s="199">
        <f t="shared" si="2"/>
        <v>0</v>
      </c>
      <c r="G21" s="199" t="s">
        <v>220</v>
      </c>
      <c r="H21" s="199" t="s">
        <v>220</v>
      </c>
      <c r="I21" s="199" t="s">
        <v>220</v>
      </c>
      <c r="J21" s="199" t="s">
        <v>220</v>
      </c>
      <c r="K21" s="440"/>
    </row>
    <row r="22" spans="1:11" ht="20.100000000000001" customHeight="1">
      <c r="A22" s="201" t="s">
        <v>57</v>
      </c>
      <c r="B22" s="442">
        <v>1033</v>
      </c>
      <c r="C22" s="199" t="s">
        <v>220</v>
      </c>
      <c r="D22" s="199" t="s">
        <v>220</v>
      </c>
      <c r="E22" s="199" t="s">
        <v>220</v>
      </c>
      <c r="F22" s="199">
        <f t="shared" si="2"/>
        <v>0</v>
      </c>
      <c r="G22" s="199" t="s">
        <v>220</v>
      </c>
      <c r="H22" s="199" t="s">
        <v>220</v>
      </c>
      <c r="I22" s="199" t="s">
        <v>220</v>
      </c>
      <c r="J22" s="199" t="s">
        <v>220</v>
      </c>
      <c r="K22" s="440"/>
    </row>
    <row r="23" spans="1:11" ht="20.100000000000001" customHeight="1">
      <c r="A23" s="201" t="s">
        <v>21</v>
      </c>
      <c r="B23" s="442">
        <v>1034</v>
      </c>
      <c r="C23" s="199" t="s">
        <v>220</v>
      </c>
      <c r="D23" s="199"/>
      <c r="E23" s="199"/>
      <c r="F23" s="199">
        <f t="shared" si="2"/>
        <v>-9.3000000000000007</v>
      </c>
      <c r="G23" s="199" t="s">
        <v>220</v>
      </c>
      <c r="H23" s="199">
        <v>-9.3000000000000007</v>
      </c>
      <c r="I23" s="199" t="s">
        <v>508</v>
      </c>
      <c r="J23" s="199" t="s">
        <v>508</v>
      </c>
      <c r="K23" s="440"/>
    </row>
    <row r="24" spans="1:11" ht="20.100000000000001" customHeight="1">
      <c r="A24" s="201" t="s">
        <v>22</v>
      </c>
      <c r="B24" s="442">
        <v>1035</v>
      </c>
      <c r="C24" s="199" t="s">
        <v>220</v>
      </c>
      <c r="D24" s="199" t="s">
        <v>220</v>
      </c>
      <c r="E24" s="199"/>
      <c r="F24" s="199">
        <f t="shared" si="2"/>
        <v>0</v>
      </c>
      <c r="G24" s="199" t="s">
        <v>220</v>
      </c>
      <c r="H24" s="199" t="s">
        <v>220</v>
      </c>
      <c r="I24" s="199" t="s">
        <v>220</v>
      </c>
      <c r="J24" s="199" t="s">
        <v>220</v>
      </c>
      <c r="K24" s="440"/>
    </row>
    <row r="25" spans="1:11" s="441" customFormat="1" ht="19.5" customHeight="1">
      <c r="A25" s="201" t="s">
        <v>33</v>
      </c>
      <c r="B25" s="442">
        <v>1036</v>
      </c>
      <c r="C25" s="199" t="s">
        <v>220</v>
      </c>
      <c r="D25" s="199"/>
      <c r="E25" s="199"/>
      <c r="F25" s="199">
        <f t="shared" si="2"/>
        <v>0</v>
      </c>
      <c r="G25" s="199" t="s">
        <v>220</v>
      </c>
      <c r="H25" s="199"/>
      <c r="I25" s="199"/>
      <c r="J25" s="199"/>
      <c r="K25" s="440"/>
    </row>
    <row r="26" spans="1:11" s="441" customFormat="1" ht="20.100000000000001" customHeight="1">
      <c r="A26" s="201" t="s">
        <v>34</v>
      </c>
      <c r="B26" s="442">
        <v>1037</v>
      </c>
      <c r="C26" s="199" t="s">
        <v>220</v>
      </c>
      <c r="D26" s="199"/>
      <c r="E26" s="199"/>
      <c r="F26" s="199">
        <f t="shared" si="2"/>
        <v>-21.1</v>
      </c>
      <c r="G26" s="199">
        <v>-4.8</v>
      </c>
      <c r="H26" s="199">
        <v>-4.5</v>
      </c>
      <c r="I26" s="199">
        <v>-5.5</v>
      </c>
      <c r="J26" s="199">
        <v>-6.3</v>
      </c>
      <c r="K26" s="440"/>
    </row>
    <row r="27" spans="1:11" s="441" customFormat="1" ht="20.100000000000001" customHeight="1">
      <c r="A27" s="201" t="s">
        <v>35</v>
      </c>
      <c r="B27" s="442">
        <v>1038</v>
      </c>
      <c r="C27" s="199" t="s">
        <v>220</v>
      </c>
      <c r="D27" s="199"/>
      <c r="E27" s="199"/>
      <c r="F27" s="199">
        <f t="shared" si="2"/>
        <v>-5222.1000000000004</v>
      </c>
      <c r="G27" s="199">
        <f>-859.2-1164.3</f>
        <v>-2023.5</v>
      </c>
      <c r="H27" s="199">
        <f>-980.9-398.4</f>
        <v>-1379.3</v>
      </c>
      <c r="I27" s="199">
        <v>-862.8</v>
      </c>
      <c r="J27" s="199">
        <v>-956.5</v>
      </c>
      <c r="K27" s="440"/>
    </row>
    <row r="28" spans="1:11" s="441" customFormat="1" ht="20.100000000000001" customHeight="1">
      <c r="A28" s="201" t="s">
        <v>36</v>
      </c>
      <c r="B28" s="442">
        <v>1039</v>
      </c>
      <c r="C28" s="199" t="s">
        <v>220</v>
      </c>
      <c r="D28" s="199"/>
      <c r="E28" s="199"/>
      <c r="F28" s="199">
        <f t="shared" si="2"/>
        <v>-1185.5999999999999</v>
      </c>
      <c r="G28" s="199">
        <f>-187.3-257.2</f>
        <v>-444.5</v>
      </c>
      <c r="H28" s="199">
        <f>-208.9-126.6</f>
        <v>-335.5</v>
      </c>
      <c r="I28" s="199">
        <v>-183.1</v>
      </c>
      <c r="J28" s="199">
        <v>-222.5</v>
      </c>
      <c r="K28" s="440"/>
    </row>
    <row r="29" spans="1:11" s="441" customFormat="1" ht="42" customHeight="1">
      <c r="A29" s="201" t="s">
        <v>37</v>
      </c>
      <c r="B29" s="442">
        <v>1040</v>
      </c>
      <c r="C29" s="199" t="s">
        <v>220</v>
      </c>
      <c r="D29" s="199"/>
      <c r="E29" s="199"/>
      <c r="F29" s="199">
        <f t="shared" si="2"/>
        <v>-329.5</v>
      </c>
      <c r="G29" s="199"/>
      <c r="H29" s="199">
        <v>-1</v>
      </c>
      <c r="I29" s="199">
        <v>-318</v>
      </c>
      <c r="J29" s="199">
        <v>-10.5</v>
      </c>
      <c r="K29" s="440"/>
    </row>
    <row r="30" spans="1:11" s="441" customFormat="1" ht="42" customHeight="1">
      <c r="A30" s="201" t="s">
        <v>38</v>
      </c>
      <c r="B30" s="442">
        <v>1041</v>
      </c>
      <c r="C30" s="199" t="s">
        <v>220</v>
      </c>
      <c r="D30" s="199" t="s">
        <v>220</v>
      </c>
      <c r="E30" s="199" t="s">
        <v>220</v>
      </c>
      <c r="F30" s="199">
        <f t="shared" si="2"/>
        <v>0</v>
      </c>
      <c r="G30" s="199" t="s">
        <v>220</v>
      </c>
      <c r="H30" s="199" t="s">
        <v>220</v>
      </c>
      <c r="I30" s="199" t="s">
        <v>220</v>
      </c>
      <c r="J30" s="199" t="s">
        <v>220</v>
      </c>
      <c r="K30" s="440"/>
    </row>
    <row r="31" spans="1:11" s="441" customFormat="1" ht="20.100000000000001" customHeight="1">
      <c r="A31" s="201" t="s">
        <v>39</v>
      </c>
      <c r="B31" s="442">
        <v>1042</v>
      </c>
      <c r="C31" s="199" t="s">
        <v>220</v>
      </c>
      <c r="D31" s="199" t="s">
        <v>220</v>
      </c>
      <c r="E31" s="199" t="s">
        <v>220</v>
      </c>
      <c r="F31" s="199">
        <f t="shared" si="2"/>
        <v>0</v>
      </c>
      <c r="G31" s="199" t="s">
        <v>220</v>
      </c>
      <c r="H31" s="199" t="s">
        <v>220</v>
      </c>
      <c r="I31" s="199" t="s">
        <v>220</v>
      </c>
      <c r="J31" s="199" t="s">
        <v>220</v>
      </c>
      <c r="K31" s="440"/>
    </row>
    <row r="32" spans="1:11" s="441" customFormat="1" ht="20.100000000000001" customHeight="1">
      <c r="A32" s="201" t="s">
        <v>40</v>
      </c>
      <c r="B32" s="442">
        <v>1043</v>
      </c>
      <c r="C32" s="199" t="s">
        <v>220</v>
      </c>
      <c r="D32" s="199" t="s">
        <v>220</v>
      </c>
      <c r="E32" s="199" t="s">
        <v>220</v>
      </c>
      <c r="F32" s="199">
        <f t="shared" si="2"/>
        <v>0</v>
      </c>
      <c r="G32" s="199" t="s">
        <v>220</v>
      </c>
      <c r="H32" s="199" t="s">
        <v>220</v>
      </c>
      <c r="I32" s="199" t="s">
        <v>220</v>
      </c>
      <c r="J32" s="199" t="s">
        <v>220</v>
      </c>
      <c r="K32" s="440"/>
    </row>
    <row r="33" spans="1:11" s="441" customFormat="1" ht="20.100000000000001" customHeight="1">
      <c r="A33" s="201" t="s">
        <v>41</v>
      </c>
      <c r="B33" s="442">
        <v>1044</v>
      </c>
      <c r="C33" s="199" t="s">
        <v>220</v>
      </c>
      <c r="D33" s="199" t="s">
        <v>220</v>
      </c>
      <c r="E33" s="199" t="s">
        <v>220</v>
      </c>
      <c r="F33" s="199">
        <f t="shared" si="2"/>
        <v>0</v>
      </c>
      <c r="G33" s="199" t="s">
        <v>220</v>
      </c>
      <c r="H33" s="199" t="s">
        <v>220</v>
      </c>
      <c r="I33" s="199" t="s">
        <v>220</v>
      </c>
      <c r="J33" s="199" t="s">
        <v>220</v>
      </c>
      <c r="K33" s="440"/>
    </row>
    <row r="34" spans="1:11" s="441" customFormat="1" ht="20.100000000000001" customHeight="1">
      <c r="A34" s="201" t="s">
        <v>59</v>
      </c>
      <c r="B34" s="442">
        <v>1045</v>
      </c>
      <c r="C34" s="199" t="s">
        <v>220</v>
      </c>
      <c r="D34" s="199"/>
      <c r="E34" s="199"/>
      <c r="F34" s="199">
        <f t="shared" si="2"/>
        <v>0</v>
      </c>
      <c r="G34" s="199"/>
      <c r="H34" s="199"/>
      <c r="I34" s="199"/>
      <c r="J34" s="199"/>
      <c r="K34" s="440"/>
    </row>
    <row r="35" spans="1:11" s="441" customFormat="1" ht="20.100000000000001" customHeight="1">
      <c r="A35" s="201" t="s">
        <v>42</v>
      </c>
      <c r="B35" s="442">
        <v>1046</v>
      </c>
      <c r="C35" s="199" t="s">
        <v>220</v>
      </c>
      <c r="D35" s="199" t="s">
        <v>220</v>
      </c>
      <c r="E35" s="199" t="s">
        <v>220</v>
      </c>
      <c r="F35" s="199">
        <f t="shared" si="2"/>
        <v>0</v>
      </c>
      <c r="G35" s="199" t="s">
        <v>220</v>
      </c>
      <c r="H35" s="199" t="s">
        <v>220</v>
      </c>
      <c r="I35" s="199" t="s">
        <v>220</v>
      </c>
      <c r="J35" s="199" t="s">
        <v>220</v>
      </c>
      <c r="K35" s="440"/>
    </row>
    <row r="36" spans="1:11" s="441" customFormat="1" ht="20.100000000000001" customHeight="1">
      <c r="A36" s="201" t="s">
        <v>43</v>
      </c>
      <c r="B36" s="442">
        <v>1047</v>
      </c>
      <c r="C36" s="199" t="s">
        <v>220</v>
      </c>
      <c r="D36" s="199" t="s">
        <v>220</v>
      </c>
      <c r="E36" s="199" t="s">
        <v>220</v>
      </c>
      <c r="F36" s="199">
        <f t="shared" si="2"/>
        <v>0</v>
      </c>
      <c r="G36" s="199" t="s">
        <v>220</v>
      </c>
      <c r="H36" s="199" t="s">
        <v>220</v>
      </c>
      <c r="I36" s="199" t="s">
        <v>220</v>
      </c>
      <c r="J36" s="199" t="s">
        <v>220</v>
      </c>
      <c r="K36" s="440"/>
    </row>
    <row r="37" spans="1:11" s="441" customFormat="1" ht="20.100000000000001" customHeight="1">
      <c r="A37" s="201" t="s">
        <v>44</v>
      </c>
      <c r="B37" s="442">
        <v>1048</v>
      </c>
      <c r="C37" s="199" t="s">
        <v>220</v>
      </c>
      <c r="D37" s="199"/>
      <c r="E37" s="199"/>
      <c r="F37" s="199">
        <f t="shared" si="2"/>
        <v>0</v>
      </c>
      <c r="G37" s="199"/>
      <c r="H37" s="199"/>
      <c r="I37" s="199"/>
      <c r="J37" s="199"/>
      <c r="K37" s="440"/>
    </row>
    <row r="38" spans="1:11" s="441" customFormat="1" ht="20.100000000000001" customHeight="1">
      <c r="A38" s="201" t="s">
        <v>45</v>
      </c>
      <c r="B38" s="442">
        <v>1049</v>
      </c>
      <c r="C38" s="199" t="s">
        <v>220</v>
      </c>
      <c r="D38" s="199" t="s">
        <v>220</v>
      </c>
      <c r="E38" s="199" t="s">
        <v>220</v>
      </c>
      <c r="F38" s="199">
        <f t="shared" si="2"/>
        <v>0</v>
      </c>
      <c r="G38" s="199" t="s">
        <v>220</v>
      </c>
      <c r="H38" s="199" t="s">
        <v>220</v>
      </c>
      <c r="I38" s="199" t="s">
        <v>220</v>
      </c>
      <c r="J38" s="199" t="s">
        <v>220</v>
      </c>
      <c r="K38" s="440"/>
    </row>
    <row r="39" spans="1:11" s="441" customFormat="1" ht="42.75" customHeight="1">
      <c r="A39" s="201" t="s">
        <v>72</v>
      </c>
      <c r="B39" s="442">
        <v>1050</v>
      </c>
      <c r="C39" s="199" t="s">
        <v>220</v>
      </c>
      <c r="D39" s="199" t="s">
        <v>220</v>
      </c>
      <c r="E39" s="199" t="s">
        <v>220</v>
      </c>
      <c r="F39" s="199">
        <f t="shared" si="2"/>
        <v>0</v>
      </c>
      <c r="G39" s="199" t="s">
        <v>220</v>
      </c>
      <c r="H39" s="199" t="s">
        <v>220</v>
      </c>
      <c r="I39" s="199" t="s">
        <v>220</v>
      </c>
      <c r="J39" s="199" t="s">
        <v>220</v>
      </c>
      <c r="K39" s="440"/>
    </row>
    <row r="40" spans="1:11" s="441" customFormat="1" ht="20.100000000000001" customHeight="1">
      <c r="A40" s="201" t="s">
        <v>46</v>
      </c>
      <c r="B40" s="409" t="s">
        <v>264</v>
      </c>
      <c r="C40" s="199" t="s">
        <v>220</v>
      </c>
      <c r="D40" s="199" t="s">
        <v>220</v>
      </c>
      <c r="E40" s="199" t="s">
        <v>220</v>
      </c>
      <c r="F40" s="199">
        <f t="shared" si="2"/>
        <v>0</v>
      </c>
      <c r="G40" s="199" t="s">
        <v>220</v>
      </c>
      <c r="H40" s="199" t="s">
        <v>220</v>
      </c>
      <c r="I40" s="199" t="s">
        <v>220</v>
      </c>
      <c r="J40" s="199" t="s">
        <v>220</v>
      </c>
      <c r="K40" s="440"/>
    </row>
    <row r="41" spans="1:11" s="441" customFormat="1" ht="20.100000000000001" customHeight="1">
      <c r="A41" s="201" t="s">
        <v>101</v>
      </c>
      <c r="B41" s="442">
        <v>1051</v>
      </c>
      <c r="C41" s="199" t="s">
        <v>220</v>
      </c>
      <c r="D41" s="199"/>
      <c r="E41" s="199"/>
      <c r="F41" s="199">
        <f t="shared" si="2"/>
        <v>-7187.7</v>
      </c>
      <c r="G41" s="199">
        <f>-1872.3-39.8</f>
        <v>-1912.1</v>
      </c>
      <c r="H41" s="199">
        <f>-1195-7.6</f>
        <v>-1202.5999999999999</v>
      </c>
      <c r="I41" s="199">
        <v>-1772</v>
      </c>
      <c r="J41" s="199">
        <f>-2279.8-21.2</f>
        <v>-2301</v>
      </c>
      <c r="K41" s="440"/>
    </row>
    <row r="42" spans="1:11" ht="20.100000000000001" customHeight="1">
      <c r="A42" s="201" t="s">
        <v>165</v>
      </c>
      <c r="B42" s="442">
        <v>1060</v>
      </c>
      <c r="C42" s="199">
        <f>SUM(C43:C49)</f>
        <v>0</v>
      </c>
      <c r="D42" s="199">
        <f t="shared" ref="D42:J42" si="3">SUM(D43:D49)</f>
        <v>0</v>
      </c>
      <c r="E42" s="199">
        <f t="shared" si="3"/>
        <v>0</v>
      </c>
      <c r="F42" s="199">
        <f t="shared" si="2"/>
        <v>0</v>
      </c>
      <c r="G42" s="199">
        <f t="shared" si="3"/>
        <v>0</v>
      </c>
      <c r="H42" s="199">
        <f t="shared" si="3"/>
        <v>0</v>
      </c>
      <c r="I42" s="199">
        <f t="shared" si="3"/>
        <v>0</v>
      </c>
      <c r="J42" s="199">
        <f t="shared" si="3"/>
        <v>0</v>
      </c>
      <c r="K42" s="440"/>
    </row>
    <row r="43" spans="1:11" s="441" customFormat="1" ht="20.100000000000001" customHeight="1">
      <c r="A43" s="201" t="s">
        <v>136</v>
      </c>
      <c r="B43" s="442">
        <v>1061</v>
      </c>
      <c r="C43" s="199" t="s">
        <v>220</v>
      </c>
      <c r="D43" s="199" t="s">
        <v>220</v>
      </c>
      <c r="E43" s="199" t="s">
        <v>220</v>
      </c>
      <c r="F43" s="199">
        <f t="shared" si="2"/>
        <v>0</v>
      </c>
      <c r="G43" s="199" t="s">
        <v>220</v>
      </c>
      <c r="H43" s="199" t="s">
        <v>220</v>
      </c>
      <c r="I43" s="199" t="s">
        <v>220</v>
      </c>
      <c r="J43" s="199" t="s">
        <v>220</v>
      </c>
      <c r="K43" s="440"/>
    </row>
    <row r="44" spans="1:11" s="441" customFormat="1" ht="20.100000000000001" customHeight="1">
      <c r="A44" s="201" t="s">
        <v>137</v>
      </c>
      <c r="B44" s="442">
        <v>1062</v>
      </c>
      <c r="C44" s="199" t="s">
        <v>220</v>
      </c>
      <c r="D44" s="199" t="s">
        <v>220</v>
      </c>
      <c r="E44" s="199" t="s">
        <v>220</v>
      </c>
      <c r="F44" s="199">
        <f t="shared" si="2"/>
        <v>0</v>
      </c>
      <c r="G44" s="199" t="s">
        <v>220</v>
      </c>
      <c r="H44" s="199" t="s">
        <v>220</v>
      </c>
      <c r="I44" s="199" t="s">
        <v>220</v>
      </c>
      <c r="J44" s="199" t="s">
        <v>220</v>
      </c>
      <c r="K44" s="440"/>
    </row>
    <row r="45" spans="1:11" s="441" customFormat="1" ht="20.100000000000001" customHeight="1">
      <c r="A45" s="201" t="s">
        <v>35</v>
      </c>
      <c r="B45" s="442">
        <v>1063</v>
      </c>
      <c r="C45" s="199" t="s">
        <v>220</v>
      </c>
      <c r="D45" s="199" t="s">
        <v>220</v>
      </c>
      <c r="E45" s="199" t="s">
        <v>220</v>
      </c>
      <c r="F45" s="199">
        <f t="shared" si="2"/>
        <v>0</v>
      </c>
      <c r="G45" s="199" t="s">
        <v>220</v>
      </c>
      <c r="H45" s="199" t="s">
        <v>220</v>
      </c>
      <c r="I45" s="199" t="s">
        <v>220</v>
      </c>
      <c r="J45" s="199" t="s">
        <v>220</v>
      </c>
      <c r="K45" s="440"/>
    </row>
    <row r="46" spans="1:11" s="441" customFormat="1" ht="20.100000000000001" customHeight="1">
      <c r="A46" s="201" t="s">
        <v>36</v>
      </c>
      <c r="B46" s="442">
        <v>1064</v>
      </c>
      <c r="C46" s="199" t="s">
        <v>220</v>
      </c>
      <c r="D46" s="199" t="s">
        <v>220</v>
      </c>
      <c r="E46" s="199" t="s">
        <v>220</v>
      </c>
      <c r="F46" s="199">
        <f t="shared" si="2"/>
        <v>0</v>
      </c>
      <c r="G46" s="199" t="s">
        <v>220</v>
      </c>
      <c r="H46" s="199" t="s">
        <v>220</v>
      </c>
      <c r="I46" s="199" t="s">
        <v>220</v>
      </c>
      <c r="J46" s="199" t="s">
        <v>220</v>
      </c>
      <c r="K46" s="440"/>
    </row>
    <row r="47" spans="1:11" s="441" customFormat="1" ht="20.100000000000001" customHeight="1">
      <c r="A47" s="201" t="s">
        <v>58</v>
      </c>
      <c r="B47" s="442">
        <v>1065</v>
      </c>
      <c r="C47" s="199" t="s">
        <v>220</v>
      </c>
      <c r="D47" s="199" t="s">
        <v>220</v>
      </c>
      <c r="E47" s="199" t="s">
        <v>220</v>
      </c>
      <c r="F47" s="199">
        <f t="shared" si="2"/>
        <v>0</v>
      </c>
      <c r="G47" s="199" t="s">
        <v>220</v>
      </c>
      <c r="H47" s="199" t="s">
        <v>220</v>
      </c>
      <c r="I47" s="199" t="s">
        <v>220</v>
      </c>
      <c r="J47" s="199" t="s">
        <v>220</v>
      </c>
      <c r="K47" s="440"/>
    </row>
    <row r="48" spans="1:11" s="441" customFormat="1" ht="20.100000000000001" customHeight="1">
      <c r="A48" s="201" t="s">
        <v>75</v>
      </c>
      <c r="B48" s="442">
        <v>1066</v>
      </c>
      <c r="C48" s="199" t="s">
        <v>220</v>
      </c>
      <c r="D48" s="199" t="s">
        <v>220</v>
      </c>
      <c r="E48" s="199" t="s">
        <v>220</v>
      </c>
      <c r="F48" s="199">
        <f t="shared" si="2"/>
        <v>0</v>
      </c>
      <c r="G48" s="199" t="s">
        <v>220</v>
      </c>
      <c r="H48" s="199" t="s">
        <v>220</v>
      </c>
      <c r="I48" s="199" t="s">
        <v>220</v>
      </c>
      <c r="J48" s="199" t="s">
        <v>220</v>
      </c>
      <c r="K48" s="440"/>
    </row>
    <row r="49" spans="1:11" s="441" customFormat="1" ht="20.100000000000001" customHeight="1">
      <c r="A49" s="201" t="s">
        <v>110</v>
      </c>
      <c r="B49" s="442">
        <v>1067</v>
      </c>
      <c r="C49" s="199" t="s">
        <v>220</v>
      </c>
      <c r="D49" s="199" t="s">
        <v>220</v>
      </c>
      <c r="E49" s="199" t="s">
        <v>220</v>
      </c>
      <c r="F49" s="199">
        <f>SUM(G49:J49)</f>
        <v>0</v>
      </c>
      <c r="G49" s="199" t="s">
        <v>220</v>
      </c>
      <c r="H49" s="199" t="s">
        <v>220</v>
      </c>
      <c r="I49" s="199" t="s">
        <v>220</v>
      </c>
      <c r="J49" s="199" t="s">
        <v>220</v>
      </c>
      <c r="K49" s="440"/>
    </row>
    <row r="50" spans="1:11" s="443" customFormat="1" ht="20.100000000000001" customHeight="1">
      <c r="A50" s="411" t="s">
        <v>265</v>
      </c>
      <c r="B50" s="436">
        <v>1070</v>
      </c>
      <c r="C50" s="202">
        <f>SUM(C51:C53)</f>
        <v>0</v>
      </c>
      <c r="D50" s="202">
        <f t="shared" ref="D50:I50" si="4">SUM(D51:D53)</f>
        <v>0</v>
      </c>
      <c r="E50" s="202">
        <f t="shared" si="4"/>
        <v>0</v>
      </c>
      <c r="F50" s="202">
        <f t="shared" si="2"/>
        <v>56105.5</v>
      </c>
      <c r="G50" s="202">
        <f t="shared" si="4"/>
        <v>14496.6</v>
      </c>
      <c r="H50" s="202">
        <f t="shared" si="4"/>
        <v>14413.300000000001</v>
      </c>
      <c r="I50" s="202">
        <f t="shared" si="4"/>
        <v>12450.4</v>
      </c>
      <c r="J50" s="202">
        <f>SUM(J51:J53)</f>
        <v>14745.2</v>
      </c>
      <c r="K50" s="439"/>
    </row>
    <row r="51" spans="1:11" s="441" customFormat="1" ht="20.100000000000001" customHeight="1">
      <c r="A51" s="201" t="s">
        <v>161</v>
      </c>
      <c r="B51" s="442">
        <v>1071</v>
      </c>
      <c r="C51" s="199">
        <v>0</v>
      </c>
      <c r="D51" s="199">
        <v>0</v>
      </c>
      <c r="E51" s="199">
        <v>0</v>
      </c>
      <c r="F51" s="199">
        <f t="shared" ref="F51:F58" si="5">SUM(G51:J51)</f>
        <v>0</v>
      </c>
      <c r="G51" s="199">
        <v>0</v>
      </c>
      <c r="H51" s="199">
        <v>0</v>
      </c>
      <c r="I51" s="199">
        <v>0</v>
      </c>
      <c r="J51" s="199">
        <v>0</v>
      </c>
      <c r="K51" s="440"/>
    </row>
    <row r="52" spans="1:11" s="441" customFormat="1" ht="20.100000000000001" customHeight="1">
      <c r="A52" s="201" t="s">
        <v>266</v>
      </c>
      <c r="B52" s="442">
        <v>1072</v>
      </c>
      <c r="C52" s="199">
        <v>0</v>
      </c>
      <c r="D52" s="199">
        <v>0</v>
      </c>
      <c r="E52" s="199">
        <v>0</v>
      </c>
      <c r="F52" s="199">
        <f t="shared" si="5"/>
        <v>0</v>
      </c>
      <c r="G52" s="199">
        <v>0</v>
      </c>
      <c r="H52" s="199">
        <v>0</v>
      </c>
      <c r="I52" s="199">
        <v>0</v>
      </c>
      <c r="J52" s="199">
        <v>0</v>
      </c>
      <c r="K52" s="440"/>
    </row>
    <row r="53" spans="1:11" s="441" customFormat="1" ht="20.100000000000001" customHeight="1">
      <c r="A53" s="201" t="s">
        <v>267</v>
      </c>
      <c r="B53" s="442">
        <v>1073</v>
      </c>
      <c r="C53" s="199"/>
      <c r="D53" s="199"/>
      <c r="E53" s="199"/>
      <c r="F53" s="199">
        <f t="shared" si="5"/>
        <v>56105.5</v>
      </c>
      <c r="G53" s="199">
        <f>14447.7+39.8+9.1</f>
        <v>14496.6</v>
      </c>
      <c r="H53" s="199">
        <f>14405.7+7.6</f>
        <v>14413.300000000001</v>
      </c>
      <c r="I53" s="199">
        <v>12450.4</v>
      </c>
      <c r="J53" s="199">
        <f>14724+21.2</f>
        <v>14745.2</v>
      </c>
      <c r="K53" s="440"/>
    </row>
    <row r="54" spans="1:11" s="443" customFormat="1" ht="20.100000000000001" customHeight="1">
      <c r="A54" s="444" t="s">
        <v>76</v>
      </c>
      <c r="B54" s="436">
        <v>1080</v>
      </c>
      <c r="C54" s="202">
        <f>SUM(C55:C60)</f>
        <v>0</v>
      </c>
      <c r="D54" s="202">
        <f>SUM(D55:D60)</f>
        <v>0</v>
      </c>
      <c r="E54" s="202">
        <f>SUM(E55:E60)</f>
        <v>0</v>
      </c>
      <c r="F54" s="202">
        <f t="shared" si="2"/>
        <v>-13829</v>
      </c>
      <c r="G54" s="202">
        <f>SUM(G55:G60)</f>
        <v>-3054</v>
      </c>
      <c r="H54" s="202">
        <f>SUM(H55:H60)</f>
        <v>-3572.1</v>
      </c>
      <c r="I54" s="202">
        <f>SUM(I55:I60)</f>
        <v>-2932.7</v>
      </c>
      <c r="J54" s="202">
        <f>SUM(J55:J60)</f>
        <v>-4270.2</v>
      </c>
      <c r="K54" s="439"/>
    </row>
    <row r="55" spans="1:11" s="441" customFormat="1" ht="20.100000000000001" customHeight="1">
      <c r="A55" s="201" t="s">
        <v>161</v>
      </c>
      <c r="B55" s="442">
        <v>1081</v>
      </c>
      <c r="C55" s="199">
        <v>0</v>
      </c>
      <c r="D55" s="199">
        <v>0</v>
      </c>
      <c r="E55" s="199">
        <v>0</v>
      </c>
      <c r="F55" s="199">
        <f t="shared" si="5"/>
        <v>0</v>
      </c>
      <c r="G55" s="199">
        <v>0</v>
      </c>
      <c r="H55" s="199">
        <v>0</v>
      </c>
      <c r="I55" s="199">
        <v>0</v>
      </c>
      <c r="J55" s="199">
        <v>0</v>
      </c>
      <c r="K55" s="440"/>
    </row>
    <row r="56" spans="1:11" s="441" customFormat="1" ht="20.100000000000001" customHeight="1">
      <c r="A56" s="201" t="s">
        <v>268</v>
      </c>
      <c r="B56" s="442">
        <v>1082</v>
      </c>
      <c r="C56" s="199">
        <v>0</v>
      </c>
      <c r="D56" s="199">
        <v>0</v>
      </c>
      <c r="E56" s="199">
        <v>0</v>
      </c>
      <c r="F56" s="199">
        <f t="shared" si="5"/>
        <v>0</v>
      </c>
      <c r="G56" s="199">
        <v>0</v>
      </c>
      <c r="H56" s="199">
        <v>0</v>
      </c>
      <c r="I56" s="199">
        <v>0</v>
      </c>
      <c r="J56" s="199">
        <v>0</v>
      </c>
      <c r="K56" s="440"/>
    </row>
    <row r="57" spans="1:11" s="441" customFormat="1" ht="20.100000000000001" customHeight="1">
      <c r="A57" s="201" t="s">
        <v>65</v>
      </c>
      <c r="B57" s="442">
        <v>1083</v>
      </c>
      <c r="C57" s="199" t="s">
        <v>220</v>
      </c>
      <c r="D57" s="199" t="s">
        <v>220</v>
      </c>
      <c r="E57" s="199" t="s">
        <v>220</v>
      </c>
      <c r="F57" s="199">
        <f t="shared" si="5"/>
        <v>0</v>
      </c>
      <c r="G57" s="199" t="s">
        <v>220</v>
      </c>
      <c r="H57" s="199" t="s">
        <v>220</v>
      </c>
      <c r="I57" s="199" t="s">
        <v>220</v>
      </c>
      <c r="J57" s="199" t="s">
        <v>220</v>
      </c>
      <c r="K57" s="440"/>
    </row>
    <row r="58" spans="1:11" s="441" customFormat="1" ht="20.100000000000001" customHeight="1">
      <c r="A58" s="201" t="s">
        <v>47</v>
      </c>
      <c r="B58" s="442">
        <v>1084</v>
      </c>
      <c r="C58" s="199" t="s">
        <v>220</v>
      </c>
      <c r="D58" s="199" t="s">
        <v>220</v>
      </c>
      <c r="E58" s="199" t="s">
        <v>220</v>
      </c>
      <c r="F58" s="199">
        <f t="shared" si="5"/>
        <v>0</v>
      </c>
      <c r="G58" s="199" t="s">
        <v>220</v>
      </c>
      <c r="H58" s="199" t="s">
        <v>220</v>
      </c>
      <c r="I58" s="199" t="s">
        <v>220</v>
      </c>
      <c r="J58" s="199" t="s">
        <v>220</v>
      </c>
      <c r="K58" s="440"/>
    </row>
    <row r="59" spans="1:11" s="441" customFormat="1" ht="20.100000000000001" customHeight="1">
      <c r="A59" s="201" t="s">
        <v>56</v>
      </c>
      <c r="B59" s="442">
        <v>1085</v>
      </c>
      <c r="C59" s="199" t="s">
        <v>220</v>
      </c>
      <c r="D59" s="199" t="s">
        <v>220</v>
      </c>
      <c r="E59" s="199" t="s">
        <v>220</v>
      </c>
      <c r="F59" s="199">
        <f t="shared" si="2"/>
        <v>0</v>
      </c>
      <c r="G59" s="199" t="s">
        <v>220</v>
      </c>
      <c r="H59" s="199" t="s">
        <v>220</v>
      </c>
      <c r="I59" s="199" t="s">
        <v>220</v>
      </c>
      <c r="J59" s="199" t="s">
        <v>220</v>
      </c>
      <c r="K59" s="440"/>
    </row>
    <row r="60" spans="1:11" s="441" customFormat="1" ht="20.100000000000001" customHeight="1">
      <c r="A60" s="201" t="s">
        <v>174</v>
      </c>
      <c r="B60" s="442">
        <v>1086</v>
      </c>
      <c r="C60" s="199" t="s">
        <v>220</v>
      </c>
      <c r="D60" s="199"/>
      <c r="E60" s="199"/>
      <c r="F60" s="199">
        <f t="shared" si="2"/>
        <v>-13829</v>
      </c>
      <c r="G60" s="199">
        <v>-3054</v>
      </c>
      <c r="H60" s="199">
        <v>-3572.1</v>
      </c>
      <c r="I60" s="199">
        <v>-2932.7</v>
      </c>
      <c r="J60" s="199">
        <v>-4270.2</v>
      </c>
      <c r="K60" s="440"/>
    </row>
    <row r="61" spans="1:11" s="423" customFormat="1" ht="20.100000000000001" customHeight="1">
      <c r="A61" s="411" t="s">
        <v>4</v>
      </c>
      <c r="B61" s="436">
        <v>1100</v>
      </c>
      <c r="C61" s="202">
        <f>SUM(C18,C19,C42,C50,C54)</f>
        <v>0</v>
      </c>
      <c r="D61" s="202">
        <f t="shared" ref="D61:H61" si="6">SUM(D18,D19,D42,D50,D54)</f>
        <v>0</v>
      </c>
      <c r="E61" s="202">
        <f t="shared" si="6"/>
        <v>0</v>
      </c>
      <c r="F61" s="202">
        <f t="shared" si="6"/>
        <v>-329.5</v>
      </c>
      <c r="G61" s="202">
        <f>SUM(G18,G19,G42,G50,G54)</f>
        <v>0</v>
      </c>
      <c r="H61" s="202">
        <f t="shared" si="6"/>
        <v>-0.99999999999954525</v>
      </c>
      <c r="I61" s="202">
        <f>SUM(I18,I19,I42,I50,I54)</f>
        <v>-318.00000000000091</v>
      </c>
      <c r="J61" s="202">
        <f>SUM(J18,J19,J42,J50,J54)</f>
        <v>-10.499999999999091</v>
      </c>
      <c r="K61" s="439"/>
    </row>
    <row r="62" spans="1:11" ht="20.100000000000001" customHeight="1">
      <c r="A62" s="201" t="s">
        <v>99</v>
      </c>
      <c r="B62" s="442">
        <v>1110</v>
      </c>
      <c r="C62" s="199"/>
      <c r="D62" s="199"/>
      <c r="E62" s="199"/>
      <c r="F62" s="199">
        <f t="shared" si="2"/>
        <v>0</v>
      </c>
      <c r="G62" s="199"/>
      <c r="H62" s="199"/>
      <c r="I62" s="199"/>
      <c r="J62" s="199"/>
      <c r="K62" s="440"/>
    </row>
    <row r="63" spans="1:11" ht="20.100000000000001" customHeight="1">
      <c r="A63" s="201" t="s">
        <v>103</v>
      </c>
      <c r="B63" s="442">
        <v>1120</v>
      </c>
      <c r="C63" s="199" t="s">
        <v>220</v>
      </c>
      <c r="D63" s="199" t="s">
        <v>220</v>
      </c>
      <c r="E63" s="199" t="s">
        <v>220</v>
      </c>
      <c r="F63" s="199">
        <f>SUM(G63:J63)</f>
        <v>0</v>
      </c>
      <c r="G63" s="199" t="s">
        <v>220</v>
      </c>
      <c r="H63" s="199" t="s">
        <v>220</v>
      </c>
      <c r="I63" s="199" t="s">
        <v>220</v>
      </c>
      <c r="J63" s="199" t="s">
        <v>220</v>
      </c>
      <c r="K63" s="440"/>
    </row>
    <row r="64" spans="1:11" ht="20.100000000000001" customHeight="1">
      <c r="A64" s="201" t="s">
        <v>100</v>
      </c>
      <c r="B64" s="442">
        <v>1130</v>
      </c>
      <c r="C64" s="199"/>
      <c r="D64" s="199"/>
      <c r="E64" s="199"/>
      <c r="F64" s="199">
        <f t="shared" si="2"/>
        <v>0</v>
      </c>
      <c r="G64" s="199"/>
      <c r="H64" s="199"/>
      <c r="I64" s="199"/>
      <c r="J64" s="199"/>
      <c r="K64" s="440"/>
    </row>
    <row r="65" spans="1:11" ht="20.100000000000001" customHeight="1">
      <c r="A65" s="201" t="s">
        <v>102</v>
      </c>
      <c r="B65" s="442">
        <v>1140</v>
      </c>
      <c r="C65" s="199" t="s">
        <v>220</v>
      </c>
      <c r="D65" s="199" t="s">
        <v>220</v>
      </c>
      <c r="E65" s="199" t="s">
        <v>220</v>
      </c>
      <c r="F65" s="199">
        <f>SUM(G65:J65)</f>
        <v>0</v>
      </c>
      <c r="G65" s="199" t="s">
        <v>220</v>
      </c>
      <c r="H65" s="199" t="s">
        <v>220</v>
      </c>
      <c r="I65" s="199" t="s">
        <v>220</v>
      </c>
      <c r="J65" s="199" t="s">
        <v>220</v>
      </c>
      <c r="K65" s="440"/>
    </row>
    <row r="66" spans="1:11" s="423" customFormat="1" ht="20.100000000000001" customHeight="1">
      <c r="A66" s="411" t="s">
        <v>226</v>
      </c>
      <c r="B66" s="436">
        <v>1150</v>
      </c>
      <c r="C66" s="202">
        <f>SUM(C67:C68)</f>
        <v>0</v>
      </c>
      <c r="D66" s="202">
        <f t="shared" ref="D66:J66" si="7">SUM(D67:D68)</f>
        <v>0</v>
      </c>
      <c r="E66" s="202">
        <f t="shared" si="7"/>
        <v>0</v>
      </c>
      <c r="F66" s="202">
        <f t="shared" si="2"/>
        <v>329.5</v>
      </c>
      <c r="G66" s="202">
        <f t="shared" si="7"/>
        <v>0</v>
      </c>
      <c r="H66" s="202">
        <f t="shared" si="7"/>
        <v>1</v>
      </c>
      <c r="I66" s="202">
        <f t="shared" si="7"/>
        <v>318</v>
      </c>
      <c r="J66" s="202">
        <f t="shared" si="7"/>
        <v>10.5</v>
      </c>
      <c r="K66" s="439"/>
    </row>
    <row r="67" spans="1:11" ht="20.100000000000001" customHeight="1">
      <c r="A67" s="201" t="s">
        <v>161</v>
      </c>
      <c r="B67" s="442">
        <v>1151</v>
      </c>
      <c r="C67" s="199"/>
      <c r="D67" s="199"/>
      <c r="E67" s="199"/>
      <c r="F67" s="199">
        <f t="shared" si="2"/>
        <v>0</v>
      </c>
      <c r="G67" s="199"/>
      <c r="H67" s="199"/>
      <c r="I67" s="199"/>
      <c r="J67" s="199"/>
      <c r="K67" s="440"/>
    </row>
    <row r="68" spans="1:11" ht="42" customHeight="1">
      <c r="A68" s="201" t="s">
        <v>693</v>
      </c>
      <c r="B68" s="442">
        <v>1152</v>
      </c>
      <c r="C68" s="199"/>
      <c r="D68" s="199"/>
      <c r="E68" s="199"/>
      <c r="F68" s="199">
        <f t="shared" si="2"/>
        <v>329.5</v>
      </c>
      <c r="G68" s="199"/>
      <c r="H68" s="199">
        <v>1</v>
      </c>
      <c r="I68" s="199">
        <v>318</v>
      </c>
      <c r="J68" s="199">
        <v>10.5</v>
      </c>
      <c r="K68" s="440"/>
    </row>
    <row r="69" spans="1:11" ht="20.100000000000001" customHeight="1">
      <c r="A69" s="201" t="s">
        <v>269</v>
      </c>
      <c r="B69" s="442">
        <v>1160</v>
      </c>
      <c r="C69" s="199">
        <f>SUM(C70:C71)</f>
        <v>0</v>
      </c>
      <c r="D69" s="199">
        <f t="shared" ref="D69:J69" si="8">SUM(D70:D71)</f>
        <v>0</v>
      </c>
      <c r="E69" s="199">
        <f t="shared" si="8"/>
        <v>0</v>
      </c>
      <c r="F69" s="199">
        <f t="shared" si="2"/>
        <v>0</v>
      </c>
      <c r="G69" s="199">
        <f t="shared" si="8"/>
        <v>0</v>
      </c>
      <c r="H69" s="199">
        <f t="shared" si="8"/>
        <v>0</v>
      </c>
      <c r="I69" s="199">
        <f t="shared" si="8"/>
        <v>0</v>
      </c>
      <c r="J69" s="199">
        <f t="shared" si="8"/>
        <v>0</v>
      </c>
      <c r="K69" s="440"/>
    </row>
    <row r="70" spans="1:11" ht="20.100000000000001" customHeight="1">
      <c r="A70" s="201" t="s">
        <v>161</v>
      </c>
      <c r="B70" s="442">
        <v>1161</v>
      </c>
      <c r="C70" s="199" t="s">
        <v>220</v>
      </c>
      <c r="D70" s="199" t="s">
        <v>220</v>
      </c>
      <c r="E70" s="199" t="s">
        <v>220</v>
      </c>
      <c r="F70" s="199">
        <f>SUM(G70:J70)</f>
        <v>0</v>
      </c>
      <c r="G70" s="199" t="s">
        <v>220</v>
      </c>
      <c r="H70" s="199" t="s">
        <v>220</v>
      </c>
      <c r="I70" s="199" t="s">
        <v>220</v>
      </c>
      <c r="J70" s="199" t="s">
        <v>220</v>
      </c>
      <c r="K70" s="440"/>
    </row>
    <row r="71" spans="1:11" ht="20.100000000000001" customHeight="1">
      <c r="A71" s="201" t="s">
        <v>109</v>
      </c>
      <c r="B71" s="442">
        <v>1162</v>
      </c>
      <c r="C71" s="199" t="s">
        <v>220</v>
      </c>
      <c r="D71" s="199" t="s">
        <v>220</v>
      </c>
      <c r="E71" s="199" t="s">
        <v>220</v>
      </c>
      <c r="F71" s="199">
        <f>SUM(G71:J71)</f>
        <v>0</v>
      </c>
      <c r="G71" s="199" t="s">
        <v>220</v>
      </c>
      <c r="H71" s="199" t="s">
        <v>220</v>
      </c>
      <c r="I71" s="199" t="s">
        <v>220</v>
      </c>
      <c r="J71" s="199" t="s">
        <v>220</v>
      </c>
      <c r="K71" s="440"/>
    </row>
    <row r="72" spans="1:11" s="423" customFormat="1" ht="20.100000000000001" customHeight="1">
      <c r="A72" s="411" t="s">
        <v>88</v>
      </c>
      <c r="B72" s="436">
        <v>1170</v>
      </c>
      <c r="C72" s="202">
        <f>SUM(C61,C62,C63,C64,C65,C66,C69)</f>
        <v>0</v>
      </c>
      <c r="D72" s="202">
        <f t="shared" ref="D72:I72" si="9">SUM(D61,D62,D63,D64,D65,D66,D69)</f>
        <v>0</v>
      </c>
      <c r="E72" s="202">
        <f t="shared" si="9"/>
        <v>0</v>
      </c>
      <c r="F72" s="202">
        <f t="shared" si="9"/>
        <v>0</v>
      </c>
      <c r="G72" s="202">
        <f t="shared" si="9"/>
        <v>0</v>
      </c>
      <c r="H72" s="202">
        <f t="shared" si="9"/>
        <v>4.5474735088646412E-13</v>
      </c>
      <c r="I72" s="202">
        <f t="shared" si="9"/>
        <v>-9.0949470177292824E-13</v>
      </c>
      <c r="J72" s="202">
        <f>SUM(J61,J62,J63,J64,J65,J66,J69)</f>
        <v>9.0949470177292824E-13</v>
      </c>
      <c r="K72" s="439"/>
    </row>
    <row r="73" spans="1:11" s="423" customFormat="1" ht="20.100000000000001" customHeight="1">
      <c r="A73" s="201" t="s">
        <v>229</v>
      </c>
      <c r="B73" s="383">
        <v>1180</v>
      </c>
      <c r="C73" s="199" t="s">
        <v>220</v>
      </c>
      <c r="D73" s="199" t="s">
        <v>220</v>
      </c>
      <c r="E73" s="199" t="s">
        <v>220</v>
      </c>
      <c r="F73" s="199">
        <f t="shared" si="2"/>
        <v>0</v>
      </c>
      <c r="G73" s="199" t="s">
        <v>220</v>
      </c>
      <c r="H73" s="199" t="s">
        <v>220</v>
      </c>
      <c r="I73" s="199" t="s">
        <v>220</v>
      </c>
      <c r="J73" s="199" t="s">
        <v>220</v>
      </c>
      <c r="K73" s="439"/>
    </row>
    <row r="74" spans="1:11" s="423" customFormat="1" ht="20.100000000000001" customHeight="1">
      <c r="A74" s="201" t="s">
        <v>230</v>
      </c>
      <c r="B74" s="383">
        <v>1181</v>
      </c>
      <c r="C74" s="199"/>
      <c r="D74" s="199"/>
      <c r="E74" s="199"/>
      <c r="F74" s="199">
        <f t="shared" si="2"/>
        <v>0</v>
      </c>
      <c r="G74" s="199"/>
      <c r="H74" s="199"/>
      <c r="I74" s="199"/>
      <c r="J74" s="199"/>
      <c r="K74" s="439"/>
    </row>
    <row r="75" spans="1:11" ht="20.100000000000001" customHeight="1">
      <c r="A75" s="201" t="s">
        <v>231</v>
      </c>
      <c r="B75" s="442">
        <v>1190</v>
      </c>
      <c r="C75" s="199"/>
      <c r="D75" s="199"/>
      <c r="E75" s="199"/>
      <c r="F75" s="199">
        <f>SUM(G75:J75)</f>
        <v>0</v>
      </c>
      <c r="G75" s="199"/>
      <c r="H75" s="199"/>
      <c r="I75" s="199"/>
      <c r="J75" s="199"/>
      <c r="K75" s="440"/>
    </row>
    <row r="76" spans="1:11" ht="20.100000000000001" customHeight="1">
      <c r="A76" s="201" t="s">
        <v>232</v>
      </c>
      <c r="B76" s="409">
        <v>1191</v>
      </c>
      <c r="C76" s="199" t="s">
        <v>220</v>
      </c>
      <c r="D76" s="199" t="s">
        <v>220</v>
      </c>
      <c r="E76" s="199" t="s">
        <v>220</v>
      </c>
      <c r="F76" s="199">
        <f>SUM(G76:J76)</f>
        <v>0</v>
      </c>
      <c r="G76" s="199" t="s">
        <v>220</v>
      </c>
      <c r="H76" s="199" t="s">
        <v>220</v>
      </c>
      <c r="I76" s="199" t="s">
        <v>220</v>
      </c>
      <c r="J76" s="199" t="s">
        <v>220</v>
      </c>
      <c r="K76" s="440"/>
    </row>
    <row r="77" spans="1:11" s="423" customFormat="1" ht="20.100000000000001" customHeight="1">
      <c r="A77" s="411" t="s">
        <v>325</v>
      </c>
      <c r="B77" s="436">
        <v>1200</v>
      </c>
      <c r="C77" s="202">
        <f>SUM(C72,C73,C74,C75,C76)</f>
        <v>0</v>
      </c>
      <c r="D77" s="202">
        <f t="shared" ref="D77:I77" si="10">SUM(D72,D73,D74,D75,D76)</f>
        <v>0</v>
      </c>
      <c r="E77" s="202">
        <f t="shared" si="10"/>
        <v>0</v>
      </c>
      <c r="F77" s="202">
        <f t="shared" si="10"/>
        <v>0</v>
      </c>
      <c r="G77" s="202">
        <f t="shared" si="10"/>
        <v>0</v>
      </c>
      <c r="H77" s="202">
        <f t="shared" si="10"/>
        <v>4.5474735088646412E-13</v>
      </c>
      <c r="I77" s="202">
        <f t="shared" si="10"/>
        <v>-9.0949470177292824E-13</v>
      </c>
      <c r="J77" s="202">
        <f>SUM(J72,J73,J74,J75,J76)</f>
        <v>9.0949470177292824E-13</v>
      </c>
      <c r="K77" s="439"/>
    </row>
    <row r="78" spans="1:11" ht="20.100000000000001" customHeight="1">
      <c r="A78" s="201" t="s">
        <v>24</v>
      </c>
      <c r="B78" s="409">
        <v>1201</v>
      </c>
      <c r="C78" s="199"/>
      <c r="D78" s="199"/>
      <c r="E78" s="199"/>
      <c r="F78" s="199">
        <f>SUM(G78:J78)</f>
        <v>0</v>
      </c>
      <c r="G78" s="199"/>
      <c r="H78" s="199"/>
      <c r="I78" s="199"/>
      <c r="J78" s="199"/>
      <c r="K78" s="440"/>
    </row>
    <row r="79" spans="1:11" ht="20.100000000000001" customHeight="1">
      <c r="A79" s="201" t="s">
        <v>25</v>
      </c>
      <c r="B79" s="409">
        <v>1202</v>
      </c>
      <c r="C79" s="199" t="s">
        <v>220</v>
      </c>
      <c r="D79" s="199" t="s">
        <v>220</v>
      </c>
      <c r="E79" s="199" t="s">
        <v>220</v>
      </c>
      <c r="F79" s="199">
        <f>SUM(G79:J79)</f>
        <v>0</v>
      </c>
      <c r="G79" s="199" t="s">
        <v>220</v>
      </c>
      <c r="H79" s="199" t="s">
        <v>220</v>
      </c>
      <c r="I79" s="199" t="s">
        <v>220</v>
      </c>
      <c r="J79" s="199" t="s">
        <v>220</v>
      </c>
      <c r="K79" s="440"/>
    </row>
    <row r="80" spans="1:11" ht="20.100000000000001" customHeight="1">
      <c r="A80" s="411" t="s">
        <v>18</v>
      </c>
      <c r="B80" s="442">
        <v>1210</v>
      </c>
      <c r="C80" s="202">
        <f>SUM(C8,C50,C62,C64,C66,C74,C75)</f>
        <v>0</v>
      </c>
      <c r="D80" s="202">
        <f t="shared" ref="D80:I80" si="11">SUM(D8,D50,D62,D64,D66,D74,D75)</f>
        <v>0</v>
      </c>
      <c r="E80" s="202">
        <f t="shared" si="11"/>
        <v>0</v>
      </c>
      <c r="F80" s="202">
        <f t="shared" si="11"/>
        <v>56671.4</v>
      </c>
      <c r="G80" s="202">
        <f>SUM(G8,G50,G62,G64,G66,G74,G75)</f>
        <v>14546.9</v>
      </c>
      <c r="H80" s="202">
        <f t="shared" si="11"/>
        <v>14466.800000000001</v>
      </c>
      <c r="I80" s="202">
        <f t="shared" si="11"/>
        <v>12834.3</v>
      </c>
      <c r="J80" s="202">
        <f>SUM(J8,J50,J62,J64,J66,J74,J75)</f>
        <v>14823.400000000001</v>
      </c>
      <c r="K80" s="440"/>
    </row>
    <row r="81" spans="1:11" ht="20.100000000000001" customHeight="1">
      <c r="A81" s="411" t="s">
        <v>106</v>
      </c>
      <c r="B81" s="442">
        <v>1220</v>
      </c>
      <c r="C81" s="202">
        <f>SUM(C9,C19,C42,C54,C63,C65,C69,C73,C76)</f>
        <v>0</v>
      </c>
      <c r="D81" s="202">
        <f t="shared" ref="D81:J81" si="12">SUM(D9,D19,D42,D54,D63,D65,D69,D73,D76)</f>
        <v>0</v>
      </c>
      <c r="E81" s="202">
        <f t="shared" si="12"/>
        <v>0</v>
      </c>
      <c r="F81" s="202">
        <f>SUM(F9,F19,F42,F54,F63,F65,F69,F73,F76)</f>
        <v>-56671.400000000009</v>
      </c>
      <c r="G81" s="202">
        <f t="shared" si="12"/>
        <v>-14546.9</v>
      </c>
      <c r="H81" s="202">
        <f>SUM(H9,H19,H42,H54,H63,H65,H69,H73,H76)</f>
        <v>-14466.800000000001</v>
      </c>
      <c r="I81" s="202">
        <f t="shared" si="12"/>
        <v>-12834.3</v>
      </c>
      <c r="J81" s="202">
        <f t="shared" si="12"/>
        <v>-14823.400000000001</v>
      </c>
      <c r="K81" s="440"/>
    </row>
    <row r="82" spans="1:11" ht="19.5" customHeight="1">
      <c r="A82" s="201" t="s">
        <v>175</v>
      </c>
      <c r="B82" s="442">
        <v>1230</v>
      </c>
      <c r="C82" s="199"/>
      <c r="D82" s="199"/>
      <c r="E82" s="199"/>
      <c r="F82" s="199">
        <f>SUM(G82:J82)</f>
        <v>0</v>
      </c>
      <c r="G82" s="199"/>
      <c r="H82" s="199"/>
      <c r="I82" s="199"/>
      <c r="J82" s="199"/>
      <c r="K82" s="440"/>
    </row>
    <row r="83" spans="1:11" ht="20.100000000000001" customHeight="1">
      <c r="A83" s="515" t="s">
        <v>130</v>
      </c>
      <c r="B83" s="516"/>
      <c r="C83" s="516"/>
      <c r="D83" s="516"/>
      <c r="E83" s="516"/>
      <c r="F83" s="516"/>
      <c r="G83" s="516"/>
      <c r="H83" s="516"/>
      <c r="I83" s="516"/>
      <c r="J83" s="516"/>
      <c r="K83" s="517"/>
    </row>
    <row r="84" spans="1:11" ht="20.100000000000001" customHeight="1">
      <c r="A84" s="201" t="s">
        <v>270</v>
      </c>
      <c r="B84" s="442">
        <v>1300</v>
      </c>
      <c r="C84" s="199">
        <f>C61</f>
        <v>0</v>
      </c>
      <c r="D84" s="199">
        <f>D61</f>
        <v>0</v>
      </c>
      <c r="E84" s="199">
        <f>E61</f>
        <v>0</v>
      </c>
      <c r="F84" s="199">
        <f t="shared" ref="F84:F89" si="13">SUM(G84:J84)</f>
        <v>-329.49999999999955</v>
      </c>
      <c r="G84" s="199">
        <f>G61</f>
        <v>0</v>
      </c>
      <c r="H84" s="199">
        <f>H61</f>
        <v>-0.99999999999954525</v>
      </c>
      <c r="I84" s="199">
        <f>I61</f>
        <v>-318.00000000000091</v>
      </c>
      <c r="J84" s="199">
        <f>J61</f>
        <v>-10.499999999999091</v>
      </c>
      <c r="K84" s="440"/>
    </row>
    <row r="85" spans="1:11" ht="20.100000000000001" customHeight="1">
      <c r="A85" s="201" t="s">
        <v>299</v>
      </c>
      <c r="B85" s="442">
        <v>1301</v>
      </c>
      <c r="C85" s="199">
        <f>C97</f>
        <v>0</v>
      </c>
      <c r="D85" s="199"/>
      <c r="E85" s="199"/>
      <c r="F85" s="199">
        <f t="shared" si="13"/>
        <v>329.5</v>
      </c>
      <c r="G85" s="199"/>
      <c r="H85" s="199">
        <v>1</v>
      </c>
      <c r="I85" s="199">
        <v>318</v>
      </c>
      <c r="J85" s="199">
        <v>10.5</v>
      </c>
      <c r="K85" s="440"/>
    </row>
    <row r="86" spans="1:11" ht="20.100000000000001" customHeight="1">
      <c r="A86" s="201" t="s">
        <v>300</v>
      </c>
      <c r="B86" s="442">
        <v>1302</v>
      </c>
      <c r="C86" s="199">
        <f>C51</f>
        <v>0</v>
      </c>
      <c r="D86" s="199">
        <f t="shared" ref="D86:J86" si="14">D51</f>
        <v>0</v>
      </c>
      <c r="E86" s="199">
        <f t="shared" si="14"/>
        <v>0</v>
      </c>
      <c r="F86" s="199">
        <f t="shared" si="13"/>
        <v>0</v>
      </c>
      <c r="G86" s="199">
        <f t="shared" si="14"/>
        <v>0</v>
      </c>
      <c r="H86" s="199">
        <f t="shared" si="14"/>
        <v>0</v>
      </c>
      <c r="I86" s="199">
        <f t="shared" si="14"/>
        <v>0</v>
      </c>
      <c r="J86" s="199">
        <f t="shared" si="14"/>
        <v>0</v>
      </c>
      <c r="K86" s="440"/>
    </row>
    <row r="87" spans="1:11" ht="20.100000000000001" customHeight="1">
      <c r="A87" s="201" t="s">
        <v>301</v>
      </c>
      <c r="B87" s="442">
        <v>1303</v>
      </c>
      <c r="C87" s="199">
        <f>C55</f>
        <v>0</v>
      </c>
      <c r="D87" s="199">
        <f t="shared" ref="D87:J87" si="15">D55</f>
        <v>0</v>
      </c>
      <c r="E87" s="199">
        <f t="shared" si="15"/>
        <v>0</v>
      </c>
      <c r="F87" s="199">
        <f t="shared" si="13"/>
        <v>0</v>
      </c>
      <c r="G87" s="199">
        <f t="shared" si="15"/>
        <v>0</v>
      </c>
      <c r="H87" s="199">
        <f t="shared" si="15"/>
        <v>0</v>
      </c>
      <c r="I87" s="199">
        <f t="shared" si="15"/>
        <v>0</v>
      </c>
      <c r="J87" s="199">
        <f t="shared" si="15"/>
        <v>0</v>
      </c>
      <c r="K87" s="440"/>
    </row>
    <row r="88" spans="1:11" ht="20.100000000000001" customHeight="1">
      <c r="A88" s="201" t="s">
        <v>302</v>
      </c>
      <c r="B88" s="442">
        <v>1304</v>
      </c>
      <c r="C88" s="199">
        <f>C52</f>
        <v>0</v>
      </c>
      <c r="D88" s="199">
        <f t="shared" ref="D88:J88" si="16">D52</f>
        <v>0</v>
      </c>
      <c r="E88" s="199">
        <f t="shared" si="16"/>
        <v>0</v>
      </c>
      <c r="F88" s="199">
        <f t="shared" si="13"/>
        <v>0</v>
      </c>
      <c r="G88" s="199">
        <f t="shared" si="16"/>
        <v>0</v>
      </c>
      <c r="H88" s="199">
        <f t="shared" si="16"/>
        <v>0</v>
      </c>
      <c r="I88" s="199">
        <f t="shared" si="16"/>
        <v>0</v>
      </c>
      <c r="J88" s="199">
        <f t="shared" si="16"/>
        <v>0</v>
      </c>
      <c r="K88" s="440"/>
    </row>
    <row r="89" spans="1:11" ht="20.100000000000001" customHeight="1">
      <c r="A89" s="201" t="s">
        <v>303</v>
      </c>
      <c r="B89" s="442">
        <v>1305</v>
      </c>
      <c r="C89" s="199">
        <f>C56</f>
        <v>0</v>
      </c>
      <c r="D89" s="199">
        <f>D56</f>
        <v>0</v>
      </c>
      <c r="E89" s="199">
        <f>E56</f>
        <v>0</v>
      </c>
      <c r="F89" s="199">
        <f t="shared" si="13"/>
        <v>0</v>
      </c>
      <c r="G89" s="199">
        <f>G56</f>
        <v>0</v>
      </c>
      <c r="H89" s="199">
        <f>H56</f>
        <v>0</v>
      </c>
      <c r="I89" s="199">
        <f>I56</f>
        <v>0</v>
      </c>
      <c r="J89" s="199">
        <f>J56</f>
        <v>0</v>
      </c>
      <c r="K89" s="440"/>
    </row>
    <row r="90" spans="1:11" s="423" customFormat="1" ht="20.100000000000001" customHeight="1">
      <c r="A90" s="411" t="s">
        <v>120</v>
      </c>
      <c r="B90" s="436">
        <v>1310</v>
      </c>
      <c r="C90" s="202">
        <f t="shared" ref="C90:H90" si="17">C84+C85-C86-C87-C88-C89</f>
        <v>0</v>
      </c>
      <c r="D90" s="202">
        <f t="shared" si="17"/>
        <v>0</v>
      </c>
      <c r="E90" s="202">
        <f t="shared" si="17"/>
        <v>0</v>
      </c>
      <c r="F90" s="202">
        <f t="shared" si="17"/>
        <v>4.5474735088646412E-13</v>
      </c>
      <c r="G90" s="202">
        <f>G84+G85-G86-G87-G88-G89</f>
        <v>0</v>
      </c>
      <c r="H90" s="202">
        <f t="shared" si="17"/>
        <v>4.5474735088646412E-13</v>
      </c>
      <c r="I90" s="202">
        <f>I84+I85-I86-I87-I88-I89</f>
        <v>-9.0949470177292824E-13</v>
      </c>
      <c r="J90" s="202">
        <f>J84+J85-J86-J87-J88-J89</f>
        <v>9.0949470177292824E-13</v>
      </c>
      <c r="K90" s="439"/>
    </row>
    <row r="91" spans="1:11" ht="20.100000000000001" customHeight="1">
      <c r="A91" s="518" t="s">
        <v>169</v>
      </c>
      <c r="B91" s="518"/>
      <c r="C91" s="518"/>
      <c r="D91" s="518"/>
      <c r="E91" s="518"/>
      <c r="F91" s="518"/>
      <c r="G91" s="518"/>
      <c r="H91" s="518"/>
      <c r="I91" s="518"/>
      <c r="J91" s="518"/>
      <c r="K91" s="518"/>
    </row>
    <row r="92" spans="1:11" ht="20.100000000000001" customHeight="1">
      <c r="A92" s="201" t="s">
        <v>197</v>
      </c>
      <c r="B92" s="442">
        <v>1400</v>
      </c>
      <c r="C92" s="199"/>
      <c r="D92" s="199"/>
      <c r="E92" s="199"/>
      <c r="F92" s="199">
        <f t="shared" ref="F92:F98" si="18">SUM(G92:J92)</f>
        <v>4647.3</v>
      </c>
      <c r="G92" s="199">
        <f>G93+G94</f>
        <v>1627.9</v>
      </c>
      <c r="H92" s="199">
        <f t="shared" ref="H92:J92" si="19">H93+H94</f>
        <v>528.09999999999991</v>
      </c>
      <c r="I92" s="199">
        <f t="shared" si="19"/>
        <v>820.5</v>
      </c>
      <c r="J92" s="199">
        <f t="shared" si="19"/>
        <v>1670.8000000000002</v>
      </c>
      <c r="K92" s="440"/>
    </row>
    <row r="93" spans="1:11" ht="19.5" customHeight="1">
      <c r="A93" s="201" t="s">
        <v>196</v>
      </c>
      <c r="B93" s="203">
        <v>1401</v>
      </c>
      <c r="C93" s="199"/>
      <c r="D93" s="199"/>
      <c r="E93" s="199"/>
      <c r="F93" s="199">
        <f t="shared" si="18"/>
        <v>0</v>
      </c>
      <c r="G93" s="199"/>
      <c r="H93" s="199"/>
      <c r="I93" s="199"/>
      <c r="J93" s="199"/>
      <c r="K93" s="440"/>
    </row>
    <row r="94" spans="1:11" ht="20.100000000000001" customHeight="1">
      <c r="A94" s="201" t="s">
        <v>27</v>
      </c>
      <c r="B94" s="203">
        <v>1402</v>
      </c>
      <c r="C94" s="199"/>
      <c r="D94" s="199"/>
      <c r="E94" s="199"/>
      <c r="F94" s="199">
        <f t="shared" si="18"/>
        <v>4647.3</v>
      </c>
      <c r="G94" s="199">
        <f>1193+67.9+306.3+48+0.7+9.2+2.8</f>
        <v>1627.9</v>
      </c>
      <c r="H94" s="199">
        <f>166.3+74.8+247.9+11.4+3.7+1.1+0.9+21+1</f>
        <v>528.09999999999991</v>
      </c>
      <c r="I94" s="199">
        <f>123.4+68.2+283.8+1.8+4.4+0.8+20.1+318</f>
        <v>820.5</v>
      </c>
      <c r="J94" s="199">
        <f>1321.9+79.8+212.4+1.9+26.8+1.5+17.3+9.2</f>
        <v>1670.8000000000002</v>
      </c>
      <c r="K94" s="440"/>
    </row>
    <row r="95" spans="1:11" ht="20.100000000000001" customHeight="1">
      <c r="A95" s="201" t="s">
        <v>5</v>
      </c>
      <c r="B95" s="445">
        <v>1410</v>
      </c>
      <c r="C95" s="199"/>
      <c r="D95" s="199"/>
      <c r="E95" s="199"/>
      <c r="F95" s="199">
        <f t="shared" si="18"/>
        <v>35219.699999999997</v>
      </c>
      <c r="G95" s="199">
        <v>9461.2999999999993</v>
      </c>
      <c r="H95" s="199">
        <v>9590.6</v>
      </c>
      <c r="I95" s="199">
        <v>7783.6</v>
      </c>
      <c r="J95" s="199">
        <v>8384.2000000000007</v>
      </c>
      <c r="K95" s="440"/>
    </row>
    <row r="96" spans="1:11" ht="20.100000000000001" customHeight="1">
      <c r="A96" s="201" t="s">
        <v>6</v>
      </c>
      <c r="B96" s="445">
        <v>1420</v>
      </c>
      <c r="C96" s="199"/>
      <c r="D96" s="199"/>
      <c r="E96" s="199"/>
      <c r="F96" s="199">
        <f t="shared" si="18"/>
        <v>7713.1</v>
      </c>
      <c r="G96" s="199">
        <v>2065.6999999999998</v>
      </c>
      <c r="H96" s="199">
        <v>2080</v>
      </c>
      <c r="I96" s="199">
        <v>1651.9</v>
      </c>
      <c r="J96" s="199">
        <v>1915.5</v>
      </c>
      <c r="K96" s="440"/>
    </row>
    <row r="97" spans="1:11" ht="20.100000000000001" customHeight="1">
      <c r="A97" s="201" t="s">
        <v>7</v>
      </c>
      <c r="B97" s="445">
        <v>1430</v>
      </c>
      <c r="C97" s="199"/>
      <c r="D97" s="199"/>
      <c r="E97" s="199"/>
      <c r="F97" s="199">
        <f t="shared" si="18"/>
        <v>329.5</v>
      </c>
      <c r="G97" s="199"/>
      <c r="H97" s="199">
        <v>1</v>
      </c>
      <c r="I97" s="199">
        <v>318</v>
      </c>
      <c r="J97" s="199">
        <v>10.5</v>
      </c>
      <c r="K97" s="440"/>
    </row>
    <row r="98" spans="1:11" ht="20.100000000000001" customHeight="1">
      <c r="A98" s="201" t="s">
        <v>28</v>
      </c>
      <c r="B98" s="203">
        <v>1440</v>
      </c>
      <c r="C98" s="199"/>
      <c r="D98" s="199"/>
      <c r="E98" s="199"/>
      <c r="F98" s="199">
        <f t="shared" si="18"/>
        <v>8761.7999999999993</v>
      </c>
      <c r="G98" s="199">
        <v>1392</v>
      </c>
      <c r="H98" s="199">
        <v>2267.1</v>
      </c>
      <c r="I98" s="199">
        <v>2260.3000000000002</v>
      </c>
      <c r="J98" s="199">
        <v>2842.4</v>
      </c>
      <c r="K98" s="440"/>
    </row>
    <row r="99" spans="1:11" s="423" customFormat="1" ht="20.100000000000001" customHeight="1">
      <c r="A99" s="411" t="s">
        <v>52</v>
      </c>
      <c r="B99" s="446">
        <v>1450</v>
      </c>
      <c r="C99" s="202" t="s">
        <v>410</v>
      </c>
      <c r="D99" s="202">
        <f>SUM(D92,D94:D98)</f>
        <v>0</v>
      </c>
      <c r="E99" s="202">
        <f>SUM(E92,E95:E98)</f>
        <v>0</v>
      </c>
      <c r="F99" s="202">
        <f>SUM(F92,F94:F98)</f>
        <v>61318.7</v>
      </c>
      <c r="G99" s="202">
        <f>SUM(G92,G95:G98)</f>
        <v>14546.899999999998</v>
      </c>
      <c r="H99" s="202">
        <f>SUM(H92,H95:H98)</f>
        <v>14466.800000000001</v>
      </c>
      <c r="I99" s="202">
        <f t="shared" ref="I99:J99" si="20">SUM(I92,I95:I98)</f>
        <v>12834.3</v>
      </c>
      <c r="J99" s="202">
        <f t="shared" si="20"/>
        <v>14823.4</v>
      </c>
      <c r="K99" s="439"/>
    </row>
    <row r="100" spans="1:11" ht="7.5" customHeight="1">
      <c r="A100" s="421"/>
      <c r="C100" s="447"/>
      <c r="D100" s="448"/>
      <c r="E100" s="448"/>
      <c r="F100" s="448"/>
      <c r="G100" s="448"/>
      <c r="H100" s="448"/>
      <c r="I100" s="448"/>
      <c r="J100" s="448"/>
    </row>
    <row r="101" spans="1:11" ht="49.5" customHeight="1">
      <c r="A101" s="449" t="s">
        <v>745</v>
      </c>
      <c r="B101" s="450"/>
      <c r="C101" s="519" t="s">
        <v>171</v>
      </c>
      <c r="D101" s="519"/>
      <c r="E101" s="519"/>
      <c r="F101" s="519"/>
      <c r="G101" s="451"/>
      <c r="H101" s="520" t="s">
        <v>617</v>
      </c>
      <c r="I101" s="520"/>
      <c r="J101" s="520"/>
    </row>
    <row r="102" spans="1:11" s="441" customFormat="1" ht="20.100000000000001" customHeight="1">
      <c r="A102" s="430" t="s">
        <v>435</v>
      </c>
      <c r="B102" s="429"/>
      <c r="C102" s="510" t="s">
        <v>434</v>
      </c>
      <c r="D102" s="510"/>
      <c r="E102" s="510"/>
      <c r="F102" s="510"/>
      <c r="G102" s="452"/>
      <c r="H102" s="511" t="s">
        <v>92</v>
      </c>
      <c r="I102" s="511"/>
      <c r="J102" s="511"/>
    </row>
    <row r="103" spans="1:11" ht="20.100000000000001" customHeight="1">
      <c r="A103" s="421"/>
      <c r="C103" s="447"/>
      <c r="D103" s="448"/>
      <c r="E103" s="448"/>
      <c r="F103" s="448"/>
      <c r="G103" s="448"/>
      <c r="H103" s="448"/>
      <c r="I103" s="448"/>
      <c r="J103" s="448"/>
    </row>
    <row r="104" spans="1:11">
      <c r="A104" s="421"/>
      <c r="C104" s="447"/>
      <c r="D104" s="448"/>
      <c r="E104" s="448"/>
      <c r="F104" s="448"/>
      <c r="G104" s="448"/>
      <c r="H104" s="448"/>
      <c r="I104" s="448"/>
      <c r="J104" s="448"/>
    </row>
    <row r="105" spans="1:11">
      <c r="A105" s="421"/>
      <c r="C105" s="447"/>
      <c r="D105" s="448"/>
      <c r="E105" s="448"/>
      <c r="F105" s="448"/>
      <c r="G105" s="448"/>
      <c r="H105" s="448"/>
      <c r="I105" s="448"/>
      <c r="J105" s="448"/>
    </row>
    <row r="106" spans="1:11">
      <c r="A106" s="421"/>
      <c r="C106" s="447"/>
      <c r="D106" s="448"/>
      <c r="E106" s="448"/>
      <c r="F106" s="448"/>
      <c r="G106" s="448"/>
      <c r="H106" s="448"/>
      <c r="I106" s="448"/>
      <c r="J106" s="448"/>
    </row>
    <row r="107" spans="1:11">
      <c r="A107" s="421"/>
      <c r="C107" s="447"/>
      <c r="D107" s="448"/>
      <c r="E107" s="448"/>
      <c r="F107" s="448"/>
      <c r="G107" s="448"/>
      <c r="H107" s="448"/>
      <c r="I107" s="448"/>
      <c r="J107" s="448"/>
    </row>
    <row r="108" spans="1:11">
      <c r="A108" s="421"/>
      <c r="C108" s="447"/>
      <c r="D108" s="448"/>
      <c r="E108" s="448"/>
      <c r="F108" s="448"/>
      <c r="G108" s="448"/>
      <c r="H108" s="448"/>
      <c r="I108" s="448"/>
      <c r="J108" s="448"/>
    </row>
    <row r="109" spans="1:11">
      <c r="A109" s="421"/>
      <c r="C109" s="447"/>
      <c r="D109" s="448"/>
      <c r="E109" s="448"/>
      <c r="F109" s="448"/>
      <c r="G109" s="448"/>
      <c r="H109" s="448"/>
      <c r="I109" s="448"/>
      <c r="J109" s="448"/>
    </row>
    <row r="110" spans="1:11">
      <c r="A110" s="421"/>
      <c r="C110" s="447"/>
      <c r="D110" s="448"/>
      <c r="E110" s="448"/>
      <c r="F110" s="448"/>
      <c r="G110" s="448"/>
      <c r="H110" s="448"/>
      <c r="I110" s="448"/>
      <c r="J110" s="448"/>
    </row>
    <row r="111" spans="1:11">
      <c r="A111" s="421"/>
      <c r="C111" s="447"/>
      <c r="D111" s="448"/>
      <c r="E111" s="448"/>
      <c r="F111" s="448"/>
      <c r="G111" s="448"/>
      <c r="H111" s="448"/>
      <c r="I111" s="448"/>
      <c r="J111" s="448"/>
    </row>
    <row r="112" spans="1:11">
      <c r="A112" s="421"/>
      <c r="C112" s="447"/>
      <c r="D112" s="448"/>
      <c r="E112" s="448"/>
      <c r="F112" s="448"/>
      <c r="G112" s="448"/>
      <c r="H112" s="448"/>
      <c r="I112" s="448"/>
      <c r="J112" s="448"/>
    </row>
    <row r="113" spans="1:10">
      <c r="A113" s="421"/>
      <c r="C113" s="447"/>
      <c r="D113" s="448"/>
      <c r="E113" s="448"/>
      <c r="F113" s="448"/>
      <c r="G113" s="448"/>
      <c r="H113" s="448"/>
      <c r="I113" s="448"/>
      <c r="J113" s="448"/>
    </row>
    <row r="114" spans="1:10">
      <c r="A114" s="421"/>
      <c r="C114" s="447"/>
      <c r="D114" s="448"/>
      <c r="E114" s="448"/>
      <c r="F114" s="448"/>
      <c r="G114" s="448"/>
      <c r="H114" s="448"/>
      <c r="I114" s="448"/>
      <c r="J114" s="448"/>
    </row>
    <row r="115" spans="1:10">
      <c r="A115" s="421"/>
      <c r="C115" s="447"/>
      <c r="D115" s="448"/>
      <c r="E115" s="448"/>
      <c r="F115" s="448"/>
      <c r="G115" s="448"/>
      <c r="H115" s="448"/>
      <c r="I115" s="448"/>
      <c r="J115" s="448"/>
    </row>
    <row r="116" spans="1:10">
      <c r="A116" s="421"/>
      <c r="C116" s="447"/>
      <c r="D116" s="448"/>
      <c r="E116" s="448"/>
      <c r="F116" s="448"/>
      <c r="G116" s="448"/>
      <c r="H116" s="448"/>
      <c r="I116" s="448"/>
      <c r="J116" s="448"/>
    </row>
    <row r="117" spans="1:10">
      <c r="A117" s="421"/>
      <c r="C117" s="447"/>
      <c r="D117" s="448"/>
      <c r="E117" s="448"/>
      <c r="F117" s="448"/>
      <c r="G117" s="448"/>
      <c r="H117" s="448"/>
      <c r="I117" s="448"/>
      <c r="J117" s="448"/>
    </row>
    <row r="118" spans="1:10">
      <c r="A118" s="421"/>
      <c r="C118" s="447"/>
      <c r="D118" s="448"/>
      <c r="E118" s="448"/>
      <c r="F118" s="448"/>
      <c r="G118" s="448"/>
      <c r="H118" s="448"/>
      <c r="I118" s="448"/>
      <c r="J118" s="448"/>
    </row>
    <row r="119" spans="1:10">
      <c r="A119" s="421"/>
      <c r="C119" s="447"/>
      <c r="D119" s="448"/>
      <c r="E119" s="448"/>
      <c r="F119" s="448"/>
      <c r="G119" s="448"/>
      <c r="H119" s="448"/>
      <c r="I119" s="448"/>
      <c r="J119" s="448"/>
    </row>
    <row r="120" spans="1:10">
      <c r="A120" s="421"/>
      <c r="C120" s="447"/>
      <c r="D120" s="448"/>
      <c r="E120" s="448"/>
      <c r="F120" s="448"/>
      <c r="G120" s="448"/>
      <c r="H120" s="448"/>
      <c r="I120" s="448"/>
      <c r="J120" s="448"/>
    </row>
    <row r="121" spans="1:10">
      <c r="A121" s="421"/>
      <c r="C121" s="447"/>
      <c r="D121" s="448"/>
      <c r="E121" s="448"/>
      <c r="F121" s="448"/>
      <c r="G121" s="448"/>
      <c r="H121" s="448"/>
      <c r="I121" s="448"/>
      <c r="J121" s="448"/>
    </row>
    <row r="122" spans="1:10">
      <c r="A122" s="421"/>
      <c r="C122" s="447"/>
      <c r="D122" s="448"/>
      <c r="E122" s="448"/>
      <c r="F122" s="448"/>
      <c r="G122" s="448"/>
      <c r="H122" s="448"/>
      <c r="I122" s="448"/>
      <c r="J122" s="448"/>
    </row>
    <row r="123" spans="1:10">
      <c r="A123" s="421"/>
      <c r="C123" s="447"/>
      <c r="D123" s="448"/>
      <c r="E123" s="448"/>
      <c r="F123" s="448"/>
      <c r="G123" s="448"/>
      <c r="H123" s="448"/>
      <c r="I123" s="448"/>
      <c r="J123" s="448"/>
    </row>
    <row r="124" spans="1:10">
      <c r="A124" s="421"/>
      <c r="C124" s="447"/>
      <c r="D124" s="448"/>
      <c r="E124" s="448"/>
      <c r="F124" s="448"/>
      <c r="G124" s="448"/>
      <c r="H124" s="448"/>
      <c r="I124" s="448"/>
      <c r="J124" s="448"/>
    </row>
    <row r="125" spans="1:10">
      <c r="A125" s="421"/>
      <c r="C125" s="447"/>
      <c r="D125" s="448"/>
      <c r="E125" s="448"/>
      <c r="F125" s="448"/>
      <c r="G125" s="448"/>
      <c r="H125" s="448"/>
      <c r="I125" s="448"/>
      <c r="J125" s="448"/>
    </row>
    <row r="126" spans="1:10">
      <c r="A126" s="421"/>
      <c r="C126" s="447"/>
      <c r="D126" s="448"/>
      <c r="E126" s="448"/>
      <c r="F126" s="448"/>
      <c r="G126" s="448"/>
      <c r="H126" s="448"/>
      <c r="I126" s="448"/>
      <c r="J126" s="448"/>
    </row>
    <row r="127" spans="1:10">
      <c r="A127" s="421"/>
      <c r="C127" s="447"/>
      <c r="D127" s="448"/>
      <c r="E127" s="448"/>
      <c r="F127" s="448"/>
      <c r="G127" s="448"/>
      <c r="H127" s="448"/>
      <c r="I127" s="448"/>
      <c r="J127" s="448"/>
    </row>
    <row r="128" spans="1:10">
      <c r="A128" s="421"/>
      <c r="C128" s="447"/>
      <c r="D128" s="448"/>
      <c r="E128" s="448"/>
      <c r="F128" s="448"/>
      <c r="G128" s="448"/>
      <c r="H128" s="448"/>
      <c r="I128" s="448"/>
      <c r="J128" s="448"/>
    </row>
    <row r="129" spans="1:10">
      <c r="A129" s="421"/>
      <c r="C129" s="447"/>
      <c r="D129" s="448"/>
      <c r="E129" s="448"/>
      <c r="F129" s="448"/>
      <c r="G129" s="448"/>
      <c r="H129" s="448"/>
      <c r="I129" s="448"/>
      <c r="J129" s="448"/>
    </row>
    <row r="130" spans="1:10">
      <c r="A130" s="421"/>
      <c r="C130" s="447"/>
      <c r="D130" s="448"/>
      <c r="E130" s="448"/>
      <c r="F130" s="448"/>
      <c r="G130" s="448"/>
      <c r="H130" s="448"/>
      <c r="I130" s="448"/>
      <c r="J130" s="448"/>
    </row>
    <row r="131" spans="1:10">
      <c r="A131" s="421"/>
      <c r="C131" s="447"/>
      <c r="D131" s="448"/>
      <c r="E131" s="448"/>
      <c r="F131" s="448"/>
      <c r="G131" s="448"/>
      <c r="H131" s="448"/>
      <c r="I131" s="448"/>
      <c r="J131" s="448"/>
    </row>
    <row r="132" spans="1:10">
      <c r="A132" s="421"/>
      <c r="C132" s="447"/>
      <c r="D132" s="448"/>
      <c r="E132" s="448"/>
      <c r="F132" s="448"/>
      <c r="G132" s="448"/>
      <c r="H132" s="448"/>
      <c r="I132" s="448"/>
      <c r="J132" s="448"/>
    </row>
    <row r="133" spans="1:10">
      <c r="A133" s="421"/>
      <c r="C133" s="447"/>
      <c r="D133" s="448"/>
      <c r="E133" s="448"/>
      <c r="F133" s="448"/>
      <c r="G133" s="448"/>
      <c r="H133" s="448"/>
      <c r="I133" s="448"/>
      <c r="J133" s="448"/>
    </row>
    <row r="134" spans="1:10">
      <c r="A134" s="421"/>
      <c r="C134" s="447"/>
      <c r="D134" s="448"/>
      <c r="E134" s="448"/>
      <c r="F134" s="448"/>
      <c r="G134" s="448"/>
      <c r="H134" s="448"/>
      <c r="I134" s="448"/>
      <c r="J134" s="448"/>
    </row>
    <row r="135" spans="1:10">
      <c r="A135" s="421"/>
      <c r="C135" s="447"/>
      <c r="D135" s="448"/>
      <c r="E135" s="448"/>
      <c r="F135" s="448"/>
      <c r="G135" s="448"/>
      <c r="H135" s="448"/>
      <c r="I135" s="448"/>
      <c r="J135" s="448"/>
    </row>
    <row r="136" spans="1:10">
      <c r="A136" s="421"/>
      <c r="C136" s="447"/>
      <c r="D136" s="448"/>
      <c r="E136" s="448"/>
      <c r="F136" s="448"/>
      <c r="G136" s="448"/>
      <c r="H136" s="448"/>
      <c r="I136" s="448"/>
      <c r="J136" s="448"/>
    </row>
    <row r="137" spans="1:10">
      <c r="A137" s="421"/>
      <c r="C137" s="447"/>
      <c r="D137" s="448"/>
      <c r="E137" s="448"/>
      <c r="F137" s="448"/>
      <c r="G137" s="448"/>
      <c r="H137" s="448"/>
      <c r="I137" s="448"/>
      <c r="J137" s="448"/>
    </row>
    <row r="138" spans="1:10">
      <c r="A138" s="421"/>
      <c r="C138" s="447"/>
      <c r="D138" s="448"/>
      <c r="E138" s="448"/>
      <c r="F138" s="448"/>
      <c r="G138" s="448"/>
      <c r="H138" s="448"/>
      <c r="I138" s="448"/>
      <c r="J138" s="448"/>
    </row>
    <row r="139" spans="1:10">
      <c r="A139" s="421"/>
      <c r="C139" s="447"/>
      <c r="D139" s="448"/>
      <c r="E139" s="448"/>
      <c r="F139" s="448"/>
      <c r="G139" s="448"/>
      <c r="H139" s="448"/>
      <c r="I139" s="448"/>
      <c r="J139" s="448"/>
    </row>
    <row r="140" spans="1:10">
      <c r="A140" s="421"/>
      <c r="C140" s="447"/>
      <c r="D140" s="448"/>
      <c r="E140" s="448"/>
      <c r="F140" s="448"/>
      <c r="G140" s="448"/>
      <c r="H140" s="448"/>
      <c r="I140" s="448"/>
      <c r="J140" s="448"/>
    </row>
    <row r="141" spans="1:10">
      <c r="A141" s="421"/>
      <c r="C141" s="447"/>
      <c r="D141" s="448"/>
      <c r="E141" s="448"/>
      <c r="F141" s="448"/>
      <c r="G141" s="448"/>
      <c r="H141" s="448"/>
      <c r="I141" s="448"/>
      <c r="J141" s="448"/>
    </row>
    <row r="142" spans="1:10">
      <c r="A142" s="421"/>
      <c r="C142" s="447"/>
      <c r="D142" s="448"/>
      <c r="E142" s="448"/>
      <c r="F142" s="448"/>
      <c r="G142" s="448"/>
      <c r="H142" s="448"/>
      <c r="I142" s="448"/>
      <c r="J142" s="448"/>
    </row>
    <row r="143" spans="1:10">
      <c r="A143" s="421"/>
      <c r="C143" s="447"/>
      <c r="D143" s="448"/>
      <c r="E143" s="448"/>
      <c r="F143" s="448"/>
      <c r="G143" s="448"/>
      <c r="H143" s="448"/>
      <c r="I143" s="448"/>
      <c r="J143" s="448"/>
    </row>
    <row r="144" spans="1:10">
      <c r="A144" s="421"/>
      <c r="C144" s="447"/>
      <c r="D144" s="448"/>
      <c r="E144" s="448"/>
      <c r="F144" s="448"/>
      <c r="G144" s="448"/>
      <c r="H144" s="448"/>
      <c r="I144" s="448"/>
      <c r="J144" s="448"/>
    </row>
    <row r="145" spans="1:10">
      <c r="A145" s="421"/>
      <c r="C145" s="447"/>
      <c r="D145" s="448"/>
      <c r="E145" s="448"/>
      <c r="F145" s="448"/>
      <c r="G145" s="448"/>
      <c r="H145" s="448"/>
      <c r="I145" s="448"/>
      <c r="J145" s="448"/>
    </row>
    <row r="146" spans="1:10">
      <c r="A146" s="421"/>
      <c r="C146" s="447"/>
      <c r="D146" s="448"/>
      <c r="E146" s="448"/>
      <c r="F146" s="448"/>
      <c r="G146" s="448"/>
      <c r="H146" s="448"/>
      <c r="I146" s="448"/>
      <c r="J146" s="448"/>
    </row>
    <row r="147" spans="1:10">
      <c r="A147" s="421"/>
      <c r="C147" s="447"/>
      <c r="D147" s="448"/>
      <c r="E147" s="448"/>
      <c r="F147" s="448"/>
      <c r="G147" s="448"/>
      <c r="H147" s="448"/>
      <c r="I147" s="448"/>
      <c r="J147" s="448"/>
    </row>
    <row r="148" spans="1:10">
      <c r="A148" s="421"/>
      <c r="C148" s="447"/>
      <c r="D148" s="448"/>
      <c r="E148" s="448"/>
      <c r="F148" s="448"/>
      <c r="G148" s="448"/>
      <c r="H148" s="448"/>
      <c r="I148" s="448"/>
      <c r="J148" s="448"/>
    </row>
    <row r="149" spans="1:10">
      <c r="A149" s="421"/>
      <c r="C149" s="447"/>
      <c r="D149" s="448"/>
      <c r="E149" s="448"/>
      <c r="F149" s="448"/>
      <c r="G149" s="448"/>
      <c r="H149" s="448"/>
      <c r="I149" s="448"/>
      <c r="J149" s="448"/>
    </row>
    <row r="150" spans="1:10">
      <c r="A150" s="421"/>
      <c r="C150" s="447"/>
      <c r="D150" s="448"/>
      <c r="E150" s="448"/>
      <c r="F150" s="448"/>
      <c r="G150" s="448"/>
      <c r="H150" s="448"/>
      <c r="I150" s="448"/>
      <c r="J150" s="448"/>
    </row>
    <row r="151" spans="1:10">
      <c r="A151" s="421"/>
      <c r="C151" s="447"/>
      <c r="D151" s="448"/>
      <c r="E151" s="448"/>
      <c r="F151" s="448"/>
      <c r="G151" s="448"/>
      <c r="H151" s="448"/>
      <c r="I151" s="448"/>
      <c r="J151" s="448"/>
    </row>
    <row r="152" spans="1:10">
      <c r="A152" s="421"/>
      <c r="C152" s="447"/>
      <c r="D152" s="448"/>
      <c r="E152" s="448"/>
      <c r="F152" s="448"/>
      <c r="G152" s="448"/>
      <c r="H152" s="448"/>
      <c r="I152" s="448"/>
      <c r="J152" s="448"/>
    </row>
    <row r="153" spans="1:10">
      <c r="A153" s="421"/>
      <c r="C153" s="447"/>
      <c r="D153" s="448"/>
      <c r="E153" s="448"/>
      <c r="F153" s="448"/>
      <c r="G153" s="448"/>
      <c r="H153" s="448"/>
      <c r="I153" s="448"/>
      <c r="J153" s="448"/>
    </row>
    <row r="154" spans="1:10">
      <c r="A154" s="421"/>
      <c r="C154" s="447"/>
      <c r="D154" s="448"/>
      <c r="E154" s="448"/>
      <c r="F154" s="448"/>
      <c r="G154" s="448"/>
      <c r="H154" s="448"/>
      <c r="I154" s="448"/>
      <c r="J154" s="448"/>
    </row>
    <row r="155" spans="1:10">
      <c r="A155" s="421"/>
      <c r="C155" s="447"/>
      <c r="D155" s="448"/>
      <c r="E155" s="448"/>
      <c r="F155" s="448"/>
      <c r="G155" s="448"/>
      <c r="H155" s="448"/>
      <c r="I155" s="448"/>
      <c r="J155" s="448"/>
    </row>
    <row r="156" spans="1:10">
      <c r="A156" s="421"/>
      <c r="C156" s="447"/>
      <c r="D156" s="448"/>
      <c r="E156" s="448"/>
      <c r="F156" s="448"/>
      <c r="G156" s="448"/>
      <c r="H156" s="448"/>
      <c r="I156" s="448"/>
      <c r="J156" s="448"/>
    </row>
    <row r="157" spans="1:10">
      <c r="A157" s="421"/>
      <c r="C157" s="447"/>
      <c r="D157" s="448"/>
      <c r="E157" s="448"/>
      <c r="F157" s="448"/>
      <c r="G157" s="448"/>
      <c r="H157" s="448"/>
      <c r="I157" s="448"/>
      <c r="J157" s="448"/>
    </row>
    <row r="158" spans="1:10">
      <c r="A158" s="421"/>
      <c r="C158" s="447"/>
      <c r="D158" s="448"/>
      <c r="E158" s="448"/>
      <c r="F158" s="448"/>
      <c r="G158" s="448"/>
      <c r="H158" s="448"/>
      <c r="I158" s="448"/>
      <c r="J158" s="448"/>
    </row>
    <row r="159" spans="1:10">
      <c r="A159" s="421"/>
      <c r="C159" s="447"/>
      <c r="D159" s="448"/>
      <c r="E159" s="448"/>
      <c r="F159" s="448"/>
      <c r="G159" s="448"/>
      <c r="H159" s="448"/>
      <c r="I159" s="448"/>
      <c r="J159" s="448"/>
    </row>
    <row r="160" spans="1:10">
      <c r="A160" s="421"/>
      <c r="C160" s="447"/>
      <c r="D160" s="448"/>
      <c r="E160" s="448"/>
      <c r="F160" s="448"/>
      <c r="G160" s="448"/>
      <c r="H160" s="448"/>
      <c r="I160" s="448"/>
      <c r="J160" s="448"/>
    </row>
    <row r="161" spans="1:1">
      <c r="A161" s="453"/>
    </row>
    <row r="162" spans="1:1">
      <c r="A162" s="453"/>
    </row>
    <row r="163" spans="1:1">
      <c r="A163" s="453"/>
    </row>
    <row r="164" spans="1:1">
      <c r="A164" s="453"/>
    </row>
    <row r="165" spans="1:1">
      <c r="A165" s="453"/>
    </row>
    <row r="166" spans="1:1">
      <c r="A166" s="453"/>
    </row>
    <row r="167" spans="1:1">
      <c r="A167" s="453"/>
    </row>
    <row r="168" spans="1:1">
      <c r="A168" s="453"/>
    </row>
    <row r="169" spans="1:1">
      <c r="A169" s="453"/>
    </row>
    <row r="170" spans="1:1">
      <c r="A170" s="453"/>
    </row>
    <row r="171" spans="1:1">
      <c r="A171" s="453"/>
    </row>
    <row r="172" spans="1:1">
      <c r="A172" s="453"/>
    </row>
    <row r="173" spans="1:1">
      <c r="A173" s="453"/>
    </row>
    <row r="174" spans="1:1">
      <c r="A174" s="453"/>
    </row>
    <row r="175" spans="1:1">
      <c r="A175" s="453"/>
    </row>
    <row r="176" spans="1:1">
      <c r="A176" s="453"/>
    </row>
    <row r="177" spans="1:1">
      <c r="A177" s="453"/>
    </row>
    <row r="178" spans="1:1">
      <c r="A178" s="453"/>
    </row>
    <row r="179" spans="1:1">
      <c r="A179" s="453"/>
    </row>
    <row r="180" spans="1:1">
      <c r="A180" s="453"/>
    </row>
    <row r="181" spans="1:1">
      <c r="A181" s="453"/>
    </row>
    <row r="182" spans="1:1">
      <c r="A182" s="453"/>
    </row>
    <row r="183" spans="1:1">
      <c r="A183" s="453"/>
    </row>
    <row r="184" spans="1:1">
      <c r="A184" s="453"/>
    </row>
    <row r="185" spans="1:1">
      <c r="A185" s="453"/>
    </row>
    <row r="186" spans="1:1">
      <c r="A186" s="453"/>
    </row>
    <row r="187" spans="1:1">
      <c r="A187" s="453"/>
    </row>
    <row r="188" spans="1:1">
      <c r="A188" s="453"/>
    </row>
    <row r="189" spans="1:1">
      <c r="A189" s="453"/>
    </row>
    <row r="190" spans="1:1">
      <c r="A190" s="453"/>
    </row>
    <row r="191" spans="1:1">
      <c r="A191" s="453"/>
    </row>
    <row r="192" spans="1:1">
      <c r="A192" s="453"/>
    </row>
    <row r="193" spans="1:1">
      <c r="A193" s="453"/>
    </row>
    <row r="194" spans="1:1">
      <c r="A194" s="453"/>
    </row>
    <row r="195" spans="1:1">
      <c r="A195" s="453"/>
    </row>
    <row r="196" spans="1:1">
      <c r="A196" s="453"/>
    </row>
    <row r="197" spans="1:1">
      <c r="A197" s="453"/>
    </row>
    <row r="198" spans="1:1">
      <c r="A198" s="453"/>
    </row>
    <row r="199" spans="1:1">
      <c r="A199" s="453"/>
    </row>
    <row r="200" spans="1:1">
      <c r="A200" s="453"/>
    </row>
    <row r="201" spans="1:1">
      <c r="A201" s="453"/>
    </row>
    <row r="202" spans="1:1">
      <c r="A202" s="453"/>
    </row>
    <row r="203" spans="1:1">
      <c r="A203" s="453"/>
    </row>
    <row r="204" spans="1:1">
      <c r="A204" s="453"/>
    </row>
    <row r="205" spans="1:1">
      <c r="A205" s="453"/>
    </row>
    <row r="206" spans="1:1">
      <c r="A206" s="453"/>
    </row>
    <row r="207" spans="1:1">
      <c r="A207" s="453"/>
    </row>
    <row r="208" spans="1:1">
      <c r="A208" s="453"/>
    </row>
    <row r="209" spans="1:1">
      <c r="A209" s="453"/>
    </row>
    <row r="210" spans="1:1">
      <c r="A210" s="453"/>
    </row>
    <row r="211" spans="1:1">
      <c r="A211" s="453"/>
    </row>
    <row r="212" spans="1:1">
      <c r="A212" s="453"/>
    </row>
    <row r="213" spans="1:1">
      <c r="A213" s="453"/>
    </row>
    <row r="214" spans="1:1">
      <c r="A214" s="453"/>
    </row>
    <row r="215" spans="1:1">
      <c r="A215" s="453"/>
    </row>
    <row r="216" spans="1:1">
      <c r="A216" s="453"/>
    </row>
    <row r="217" spans="1:1">
      <c r="A217" s="453"/>
    </row>
    <row r="218" spans="1:1">
      <c r="A218" s="453"/>
    </row>
    <row r="219" spans="1:1">
      <c r="A219" s="453"/>
    </row>
    <row r="220" spans="1:1">
      <c r="A220" s="453"/>
    </row>
    <row r="221" spans="1:1">
      <c r="A221" s="453"/>
    </row>
    <row r="222" spans="1:1">
      <c r="A222" s="453"/>
    </row>
    <row r="223" spans="1:1">
      <c r="A223" s="453"/>
    </row>
    <row r="224" spans="1:1">
      <c r="A224" s="453"/>
    </row>
    <row r="225" spans="1:1">
      <c r="A225" s="453"/>
    </row>
    <row r="226" spans="1:1">
      <c r="A226" s="453"/>
    </row>
    <row r="227" spans="1:1">
      <c r="A227" s="453"/>
    </row>
    <row r="228" spans="1:1">
      <c r="A228" s="453"/>
    </row>
    <row r="229" spans="1:1">
      <c r="A229" s="453"/>
    </row>
    <row r="230" spans="1:1">
      <c r="A230" s="453"/>
    </row>
    <row r="231" spans="1:1">
      <c r="A231" s="453"/>
    </row>
    <row r="232" spans="1:1">
      <c r="A232" s="453"/>
    </row>
    <row r="233" spans="1:1">
      <c r="A233" s="453"/>
    </row>
    <row r="234" spans="1:1">
      <c r="A234" s="453"/>
    </row>
    <row r="235" spans="1:1">
      <c r="A235" s="453"/>
    </row>
    <row r="236" spans="1:1">
      <c r="A236" s="453"/>
    </row>
    <row r="237" spans="1:1">
      <c r="A237" s="453"/>
    </row>
    <row r="238" spans="1:1">
      <c r="A238" s="453"/>
    </row>
    <row r="239" spans="1:1">
      <c r="A239" s="453"/>
    </row>
    <row r="240" spans="1:1">
      <c r="A240" s="453"/>
    </row>
    <row r="241" spans="1:1">
      <c r="A241" s="453"/>
    </row>
    <row r="242" spans="1:1">
      <c r="A242" s="453"/>
    </row>
    <row r="243" spans="1:1">
      <c r="A243" s="453"/>
    </row>
    <row r="244" spans="1:1">
      <c r="A244" s="453"/>
    </row>
    <row r="245" spans="1:1">
      <c r="A245" s="453"/>
    </row>
    <row r="246" spans="1:1">
      <c r="A246" s="453"/>
    </row>
    <row r="247" spans="1:1">
      <c r="A247" s="453"/>
    </row>
    <row r="248" spans="1:1">
      <c r="A248" s="453"/>
    </row>
    <row r="249" spans="1:1">
      <c r="A249" s="453"/>
    </row>
    <row r="250" spans="1:1">
      <c r="A250" s="453"/>
    </row>
    <row r="251" spans="1:1">
      <c r="A251" s="453"/>
    </row>
    <row r="252" spans="1:1">
      <c r="A252" s="453"/>
    </row>
    <row r="253" spans="1:1">
      <c r="A253" s="453"/>
    </row>
    <row r="254" spans="1:1">
      <c r="A254" s="453"/>
    </row>
    <row r="255" spans="1:1">
      <c r="A255" s="453"/>
    </row>
    <row r="256" spans="1:1">
      <c r="A256" s="453"/>
    </row>
    <row r="257" spans="1:1">
      <c r="A257" s="453"/>
    </row>
    <row r="258" spans="1:1">
      <c r="A258" s="453"/>
    </row>
    <row r="259" spans="1:1">
      <c r="A259" s="453"/>
    </row>
    <row r="260" spans="1:1">
      <c r="A260" s="453"/>
    </row>
    <row r="261" spans="1:1">
      <c r="A261" s="453"/>
    </row>
    <row r="262" spans="1:1">
      <c r="A262" s="453"/>
    </row>
    <row r="263" spans="1:1">
      <c r="A263" s="453"/>
    </row>
    <row r="264" spans="1:1">
      <c r="A264" s="453"/>
    </row>
    <row r="265" spans="1:1">
      <c r="A265" s="453"/>
    </row>
    <row r="266" spans="1:1">
      <c r="A266" s="453"/>
    </row>
    <row r="267" spans="1:1">
      <c r="A267" s="453"/>
    </row>
    <row r="268" spans="1:1">
      <c r="A268" s="453"/>
    </row>
    <row r="269" spans="1:1">
      <c r="A269" s="453"/>
    </row>
    <row r="270" spans="1:1">
      <c r="A270" s="453"/>
    </row>
    <row r="271" spans="1:1">
      <c r="A271" s="453"/>
    </row>
    <row r="272" spans="1:1">
      <c r="A272" s="453"/>
    </row>
    <row r="273" spans="1:1">
      <c r="A273" s="453"/>
    </row>
    <row r="274" spans="1:1">
      <c r="A274" s="453"/>
    </row>
    <row r="275" spans="1:1">
      <c r="A275" s="453"/>
    </row>
    <row r="276" spans="1:1">
      <c r="A276" s="453"/>
    </row>
    <row r="277" spans="1:1">
      <c r="A277" s="453"/>
    </row>
    <row r="278" spans="1:1">
      <c r="A278" s="453"/>
    </row>
    <row r="279" spans="1:1">
      <c r="A279" s="453"/>
    </row>
    <row r="280" spans="1:1">
      <c r="A280" s="453"/>
    </row>
    <row r="281" spans="1:1">
      <c r="A281" s="453"/>
    </row>
    <row r="282" spans="1:1">
      <c r="A282" s="453"/>
    </row>
    <row r="283" spans="1:1">
      <c r="A283" s="453"/>
    </row>
    <row r="284" spans="1:1">
      <c r="A284" s="453"/>
    </row>
    <row r="285" spans="1:1">
      <c r="A285" s="453"/>
    </row>
    <row r="286" spans="1:1">
      <c r="A286" s="453"/>
    </row>
    <row r="287" spans="1:1">
      <c r="A287" s="453"/>
    </row>
    <row r="288" spans="1:1">
      <c r="A288" s="453"/>
    </row>
    <row r="289" spans="1:1">
      <c r="A289" s="453"/>
    </row>
    <row r="290" spans="1:1">
      <c r="A290" s="453"/>
    </row>
    <row r="291" spans="1:1">
      <c r="A291" s="453"/>
    </row>
    <row r="292" spans="1:1">
      <c r="A292" s="453"/>
    </row>
    <row r="293" spans="1:1">
      <c r="A293" s="453"/>
    </row>
    <row r="294" spans="1:1">
      <c r="A294" s="453"/>
    </row>
    <row r="295" spans="1:1">
      <c r="A295" s="453"/>
    </row>
    <row r="296" spans="1:1">
      <c r="A296" s="453"/>
    </row>
    <row r="297" spans="1:1">
      <c r="A297" s="453"/>
    </row>
    <row r="298" spans="1:1">
      <c r="A298" s="453"/>
    </row>
    <row r="299" spans="1:1">
      <c r="A299" s="453"/>
    </row>
    <row r="300" spans="1:1">
      <c r="A300" s="453"/>
    </row>
    <row r="301" spans="1:1">
      <c r="A301" s="453"/>
    </row>
    <row r="302" spans="1:1">
      <c r="A302" s="453"/>
    </row>
    <row r="303" spans="1:1">
      <c r="A303" s="453"/>
    </row>
    <row r="304" spans="1:1">
      <c r="A304" s="453"/>
    </row>
    <row r="305" spans="1:1">
      <c r="A305" s="453"/>
    </row>
    <row r="306" spans="1:1">
      <c r="A306" s="453"/>
    </row>
    <row r="307" spans="1:1">
      <c r="A307" s="453"/>
    </row>
    <row r="308" spans="1:1">
      <c r="A308" s="453"/>
    </row>
    <row r="309" spans="1:1">
      <c r="A309" s="453"/>
    </row>
    <row r="310" spans="1:1">
      <c r="A310" s="453"/>
    </row>
    <row r="311" spans="1:1">
      <c r="A311" s="453"/>
    </row>
    <row r="312" spans="1:1">
      <c r="A312" s="453"/>
    </row>
    <row r="313" spans="1:1">
      <c r="A313" s="453"/>
    </row>
    <row r="314" spans="1:1">
      <c r="A314" s="453"/>
    </row>
    <row r="315" spans="1:1">
      <c r="A315" s="453"/>
    </row>
    <row r="316" spans="1:1">
      <c r="A316" s="453"/>
    </row>
    <row r="317" spans="1:1">
      <c r="A317" s="453"/>
    </row>
    <row r="318" spans="1:1">
      <c r="A318" s="453"/>
    </row>
    <row r="319" spans="1:1">
      <c r="A319" s="453"/>
    </row>
    <row r="320" spans="1:1">
      <c r="A320" s="453"/>
    </row>
    <row r="321" spans="1:1">
      <c r="A321" s="453"/>
    </row>
    <row r="322" spans="1:1">
      <c r="A322" s="453"/>
    </row>
    <row r="323" spans="1:1">
      <c r="A323" s="453"/>
    </row>
    <row r="324" spans="1:1">
      <c r="A324" s="453"/>
    </row>
    <row r="325" spans="1:1">
      <c r="A325" s="453"/>
    </row>
    <row r="326" spans="1:1">
      <c r="A326" s="453"/>
    </row>
    <row r="327" spans="1:1">
      <c r="A327" s="453"/>
    </row>
  </sheetData>
  <mergeCells count="16">
    <mergeCell ref="C102:F102"/>
    <mergeCell ref="H102:J102"/>
    <mergeCell ref="A7:K7"/>
    <mergeCell ref="A83:K83"/>
    <mergeCell ref="A91:K91"/>
    <mergeCell ref="C101:F101"/>
    <mergeCell ref="H101:J101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98425196850393704" right="0.59055118110236227" top="0.39370078740157483" bottom="0.39370078740157483" header="0.51181102362204722" footer="0.51181102362204722"/>
  <pageSetup paperSize="9" scale="45" orientation="landscape" r:id="rId1"/>
  <headerFooter alignWithMargins="0"/>
  <ignoredErrors>
    <ignoredError sqref="F54 F50 F19 F72 F66 F61 F77 F42 F85:F87 F88:F89 F69" formula="1"/>
    <ignoredError sqref="C90:E90 H9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85"/>
  <sheetViews>
    <sheetView view="pageBreakPreview" topLeftCell="A43" zoomScale="70" zoomScaleNormal="71" zoomScaleSheetLayoutView="70" zoomScalePageLayoutView="75" workbookViewId="0">
      <selection activeCell="O27" sqref="O27"/>
    </sheetView>
  </sheetViews>
  <sheetFormatPr defaultRowHeight="18"/>
  <cols>
    <col min="1" max="1" width="5.5703125" style="52" customWidth="1"/>
    <col min="2" max="2" width="88.85546875" style="52" customWidth="1"/>
    <col min="3" max="3" width="10.5703125" style="52" customWidth="1"/>
    <col min="4" max="4" width="15.85546875" style="52" customWidth="1"/>
    <col min="5" max="6" width="15.5703125" style="52" customWidth="1"/>
    <col min="7" max="7" width="14.140625" style="52" customWidth="1"/>
    <col min="8" max="8" width="16.140625" style="52" customWidth="1"/>
    <col min="9" max="9" width="14" style="52" customWidth="1"/>
    <col min="10" max="10" width="15.140625" style="52" customWidth="1"/>
    <col min="11" max="11" width="26.85546875" style="52" customWidth="1"/>
    <col min="12" max="12" width="11.85546875" style="52" bestFit="1" customWidth="1"/>
    <col min="13" max="14" width="9.140625" style="52"/>
    <col min="15" max="15" width="20.140625" style="52" customWidth="1"/>
    <col min="16" max="258" width="9.140625" style="52"/>
    <col min="259" max="259" width="5.5703125" style="52" customWidth="1"/>
    <col min="260" max="260" width="97.7109375" style="52" customWidth="1"/>
    <col min="261" max="261" width="9.140625" style="52"/>
    <col min="262" max="262" width="12.85546875" style="52" customWidth="1"/>
    <col min="263" max="263" width="9.5703125" style="52" customWidth="1"/>
    <col min="264" max="264" width="13.140625" style="52" customWidth="1"/>
    <col min="265" max="265" width="11.85546875" style="52" customWidth="1"/>
    <col min="266" max="266" width="12.140625" style="52" customWidth="1"/>
    <col min="267" max="267" width="37.7109375" style="52" customWidth="1"/>
    <col min="268" max="514" width="9.140625" style="52"/>
    <col min="515" max="515" width="5.5703125" style="52" customWidth="1"/>
    <col min="516" max="516" width="97.7109375" style="52" customWidth="1"/>
    <col min="517" max="517" width="9.140625" style="52"/>
    <col min="518" max="518" width="12.85546875" style="52" customWidth="1"/>
    <col min="519" max="519" width="9.5703125" style="52" customWidth="1"/>
    <col min="520" max="520" width="13.140625" style="52" customWidth="1"/>
    <col min="521" max="521" width="11.85546875" style="52" customWidth="1"/>
    <col min="522" max="522" width="12.140625" style="52" customWidth="1"/>
    <col min="523" max="523" width="37.7109375" style="52" customWidth="1"/>
    <col min="524" max="770" width="9.140625" style="52"/>
    <col min="771" max="771" width="5.5703125" style="52" customWidth="1"/>
    <col min="772" max="772" width="97.7109375" style="52" customWidth="1"/>
    <col min="773" max="773" width="9.140625" style="52"/>
    <col min="774" max="774" width="12.85546875" style="52" customWidth="1"/>
    <col min="775" max="775" width="9.5703125" style="52" customWidth="1"/>
    <col min="776" max="776" width="13.140625" style="52" customWidth="1"/>
    <col min="777" max="777" width="11.85546875" style="52" customWidth="1"/>
    <col min="778" max="778" width="12.140625" style="52" customWidth="1"/>
    <col min="779" max="779" width="37.7109375" style="52" customWidth="1"/>
    <col min="780" max="1026" width="9.140625" style="52"/>
    <col min="1027" max="1027" width="5.5703125" style="52" customWidth="1"/>
    <col min="1028" max="1028" width="97.7109375" style="52" customWidth="1"/>
    <col min="1029" max="1029" width="9.140625" style="52"/>
    <col min="1030" max="1030" width="12.85546875" style="52" customWidth="1"/>
    <col min="1031" max="1031" width="9.5703125" style="52" customWidth="1"/>
    <col min="1032" max="1032" width="13.140625" style="52" customWidth="1"/>
    <col min="1033" max="1033" width="11.85546875" style="52" customWidth="1"/>
    <col min="1034" max="1034" width="12.140625" style="52" customWidth="1"/>
    <col min="1035" max="1035" width="37.7109375" style="52" customWidth="1"/>
    <col min="1036" max="1282" width="9.140625" style="52"/>
    <col min="1283" max="1283" width="5.5703125" style="52" customWidth="1"/>
    <col min="1284" max="1284" width="97.7109375" style="52" customWidth="1"/>
    <col min="1285" max="1285" width="9.140625" style="52"/>
    <col min="1286" max="1286" width="12.85546875" style="52" customWidth="1"/>
    <col min="1287" max="1287" width="9.5703125" style="52" customWidth="1"/>
    <col min="1288" max="1288" width="13.140625" style="52" customWidth="1"/>
    <col min="1289" max="1289" width="11.85546875" style="52" customWidth="1"/>
    <col min="1290" max="1290" width="12.140625" style="52" customWidth="1"/>
    <col min="1291" max="1291" width="37.7109375" style="52" customWidth="1"/>
    <col min="1292" max="1538" width="9.140625" style="52"/>
    <col min="1539" max="1539" width="5.5703125" style="52" customWidth="1"/>
    <col min="1540" max="1540" width="97.7109375" style="52" customWidth="1"/>
    <col min="1541" max="1541" width="9.140625" style="52"/>
    <col min="1542" max="1542" width="12.85546875" style="52" customWidth="1"/>
    <col min="1543" max="1543" width="9.5703125" style="52" customWidth="1"/>
    <col min="1544" max="1544" width="13.140625" style="52" customWidth="1"/>
    <col min="1545" max="1545" width="11.85546875" style="52" customWidth="1"/>
    <col min="1546" max="1546" width="12.140625" style="52" customWidth="1"/>
    <col min="1547" max="1547" width="37.7109375" style="52" customWidth="1"/>
    <col min="1548" max="1794" width="9.140625" style="52"/>
    <col min="1795" max="1795" width="5.5703125" style="52" customWidth="1"/>
    <col min="1796" max="1796" width="97.7109375" style="52" customWidth="1"/>
    <col min="1797" max="1797" width="9.140625" style="52"/>
    <col min="1798" max="1798" width="12.85546875" style="52" customWidth="1"/>
    <col min="1799" max="1799" width="9.5703125" style="52" customWidth="1"/>
    <col min="1800" max="1800" width="13.140625" style="52" customWidth="1"/>
    <col min="1801" max="1801" width="11.85546875" style="52" customWidth="1"/>
    <col min="1802" max="1802" width="12.140625" style="52" customWidth="1"/>
    <col min="1803" max="1803" width="37.7109375" style="52" customWidth="1"/>
    <col min="1804" max="2050" width="9.140625" style="52"/>
    <col min="2051" max="2051" width="5.5703125" style="52" customWidth="1"/>
    <col min="2052" max="2052" width="97.7109375" style="52" customWidth="1"/>
    <col min="2053" max="2053" width="9.140625" style="52"/>
    <col min="2054" max="2054" width="12.85546875" style="52" customWidth="1"/>
    <col min="2055" max="2055" width="9.5703125" style="52" customWidth="1"/>
    <col min="2056" max="2056" width="13.140625" style="52" customWidth="1"/>
    <col min="2057" max="2057" width="11.85546875" style="52" customWidth="1"/>
    <col min="2058" max="2058" width="12.140625" style="52" customWidth="1"/>
    <col min="2059" max="2059" width="37.7109375" style="52" customWidth="1"/>
    <col min="2060" max="2306" width="9.140625" style="52"/>
    <col min="2307" max="2307" width="5.5703125" style="52" customWidth="1"/>
    <col min="2308" max="2308" width="97.7109375" style="52" customWidth="1"/>
    <col min="2309" max="2309" width="9.140625" style="52"/>
    <col min="2310" max="2310" width="12.85546875" style="52" customWidth="1"/>
    <col min="2311" max="2311" width="9.5703125" style="52" customWidth="1"/>
    <col min="2312" max="2312" width="13.140625" style="52" customWidth="1"/>
    <col min="2313" max="2313" width="11.85546875" style="52" customWidth="1"/>
    <col min="2314" max="2314" width="12.140625" style="52" customWidth="1"/>
    <col min="2315" max="2315" width="37.7109375" style="52" customWidth="1"/>
    <col min="2316" max="2562" width="9.140625" style="52"/>
    <col min="2563" max="2563" width="5.5703125" style="52" customWidth="1"/>
    <col min="2564" max="2564" width="97.7109375" style="52" customWidth="1"/>
    <col min="2565" max="2565" width="9.140625" style="52"/>
    <col min="2566" max="2566" width="12.85546875" style="52" customWidth="1"/>
    <col min="2567" max="2567" width="9.5703125" style="52" customWidth="1"/>
    <col min="2568" max="2568" width="13.140625" style="52" customWidth="1"/>
    <col min="2569" max="2569" width="11.85546875" style="52" customWidth="1"/>
    <col min="2570" max="2570" width="12.140625" style="52" customWidth="1"/>
    <col min="2571" max="2571" width="37.7109375" style="52" customWidth="1"/>
    <col min="2572" max="2818" width="9.140625" style="52"/>
    <col min="2819" max="2819" width="5.5703125" style="52" customWidth="1"/>
    <col min="2820" max="2820" width="97.7109375" style="52" customWidth="1"/>
    <col min="2821" max="2821" width="9.140625" style="52"/>
    <col min="2822" max="2822" width="12.85546875" style="52" customWidth="1"/>
    <col min="2823" max="2823" width="9.5703125" style="52" customWidth="1"/>
    <col min="2824" max="2824" width="13.140625" style="52" customWidth="1"/>
    <col min="2825" max="2825" width="11.85546875" style="52" customWidth="1"/>
    <col min="2826" max="2826" width="12.140625" style="52" customWidth="1"/>
    <col min="2827" max="2827" width="37.7109375" style="52" customWidth="1"/>
    <col min="2828" max="3074" width="9.140625" style="52"/>
    <col min="3075" max="3075" width="5.5703125" style="52" customWidth="1"/>
    <col min="3076" max="3076" width="97.7109375" style="52" customWidth="1"/>
    <col min="3077" max="3077" width="9.140625" style="52"/>
    <col min="3078" max="3078" width="12.85546875" style="52" customWidth="1"/>
    <col min="3079" max="3079" width="9.5703125" style="52" customWidth="1"/>
    <col min="3080" max="3080" width="13.140625" style="52" customWidth="1"/>
    <col min="3081" max="3081" width="11.85546875" style="52" customWidth="1"/>
    <col min="3082" max="3082" width="12.140625" style="52" customWidth="1"/>
    <col min="3083" max="3083" width="37.7109375" style="52" customWidth="1"/>
    <col min="3084" max="3330" width="9.140625" style="52"/>
    <col min="3331" max="3331" width="5.5703125" style="52" customWidth="1"/>
    <col min="3332" max="3332" width="97.7109375" style="52" customWidth="1"/>
    <col min="3333" max="3333" width="9.140625" style="52"/>
    <col min="3334" max="3334" width="12.85546875" style="52" customWidth="1"/>
    <col min="3335" max="3335" width="9.5703125" style="52" customWidth="1"/>
    <col min="3336" max="3336" width="13.140625" style="52" customWidth="1"/>
    <col min="3337" max="3337" width="11.85546875" style="52" customWidth="1"/>
    <col min="3338" max="3338" width="12.140625" style="52" customWidth="1"/>
    <col min="3339" max="3339" width="37.7109375" style="52" customWidth="1"/>
    <col min="3340" max="3586" width="9.140625" style="52"/>
    <col min="3587" max="3587" width="5.5703125" style="52" customWidth="1"/>
    <col min="3588" max="3588" width="97.7109375" style="52" customWidth="1"/>
    <col min="3589" max="3589" width="9.140625" style="52"/>
    <col min="3590" max="3590" width="12.85546875" style="52" customWidth="1"/>
    <col min="3591" max="3591" width="9.5703125" style="52" customWidth="1"/>
    <col min="3592" max="3592" width="13.140625" style="52" customWidth="1"/>
    <col min="3593" max="3593" width="11.85546875" style="52" customWidth="1"/>
    <col min="3594" max="3594" width="12.140625" style="52" customWidth="1"/>
    <col min="3595" max="3595" width="37.7109375" style="52" customWidth="1"/>
    <col min="3596" max="3842" width="9.140625" style="52"/>
    <col min="3843" max="3843" width="5.5703125" style="52" customWidth="1"/>
    <col min="3844" max="3844" width="97.7109375" style="52" customWidth="1"/>
    <col min="3845" max="3845" width="9.140625" style="52"/>
    <col min="3846" max="3846" width="12.85546875" style="52" customWidth="1"/>
    <col min="3847" max="3847" width="9.5703125" style="52" customWidth="1"/>
    <col min="3848" max="3848" width="13.140625" style="52" customWidth="1"/>
    <col min="3849" max="3849" width="11.85546875" style="52" customWidth="1"/>
    <col min="3850" max="3850" width="12.140625" style="52" customWidth="1"/>
    <col min="3851" max="3851" width="37.7109375" style="52" customWidth="1"/>
    <col min="3852" max="4098" width="9.140625" style="52"/>
    <col min="4099" max="4099" width="5.5703125" style="52" customWidth="1"/>
    <col min="4100" max="4100" width="97.7109375" style="52" customWidth="1"/>
    <col min="4101" max="4101" width="9.140625" style="52"/>
    <col min="4102" max="4102" width="12.85546875" style="52" customWidth="1"/>
    <col min="4103" max="4103" width="9.5703125" style="52" customWidth="1"/>
    <col min="4104" max="4104" width="13.140625" style="52" customWidth="1"/>
    <col min="4105" max="4105" width="11.85546875" style="52" customWidth="1"/>
    <col min="4106" max="4106" width="12.140625" style="52" customWidth="1"/>
    <col min="4107" max="4107" width="37.7109375" style="52" customWidth="1"/>
    <col min="4108" max="4354" width="9.140625" style="52"/>
    <col min="4355" max="4355" width="5.5703125" style="52" customWidth="1"/>
    <col min="4356" max="4356" width="97.7109375" style="52" customWidth="1"/>
    <col min="4357" max="4357" width="9.140625" style="52"/>
    <col min="4358" max="4358" width="12.85546875" style="52" customWidth="1"/>
    <col min="4359" max="4359" width="9.5703125" style="52" customWidth="1"/>
    <col min="4360" max="4360" width="13.140625" style="52" customWidth="1"/>
    <col min="4361" max="4361" width="11.85546875" style="52" customWidth="1"/>
    <col min="4362" max="4362" width="12.140625" style="52" customWidth="1"/>
    <col min="4363" max="4363" width="37.7109375" style="52" customWidth="1"/>
    <col min="4364" max="4610" width="9.140625" style="52"/>
    <col min="4611" max="4611" width="5.5703125" style="52" customWidth="1"/>
    <col min="4612" max="4612" width="97.7109375" style="52" customWidth="1"/>
    <col min="4613" max="4613" width="9.140625" style="52"/>
    <col min="4614" max="4614" width="12.85546875" style="52" customWidth="1"/>
    <col min="4615" max="4615" width="9.5703125" style="52" customWidth="1"/>
    <col min="4616" max="4616" width="13.140625" style="52" customWidth="1"/>
    <col min="4617" max="4617" width="11.85546875" style="52" customWidth="1"/>
    <col min="4618" max="4618" width="12.140625" style="52" customWidth="1"/>
    <col min="4619" max="4619" width="37.7109375" style="52" customWidth="1"/>
    <col min="4620" max="4866" width="9.140625" style="52"/>
    <col min="4867" max="4867" width="5.5703125" style="52" customWidth="1"/>
    <col min="4868" max="4868" width="97.7109375" style="52" customWidth="1"/>
    <col min="4869" max="4869" width="9.140625" style="52"/>
    <col min="4870" max="4870" width="12.85546875" style="52" customWidth="1"/>
    <col min="4871" max="4871" width="9.5703125" style="52" customWidth="1"/>
    <col min="4872" max="4872" width="13.140625" style="52" customWidth="1"/>
    <col min="4873" max="4873" width="11.85546875" style="52" customWidth="1"/>
    <col min="4874" max="4874" width="12.140625" style="52" customWidth="1"/>
    <col min="4875" max="4875" width="37.7109375" style="52" customWidth="1"/>
    <col min="4876" max="5122" width="9.140625" style="52"/>
    <col min="5123" max="5123" width="5.5703125" style="52" customWidth="1"/>
    <col min="5124" max="5124" width="97.7109375" style="52" customWidth="1"/>
    <col min="5125" max="5125" width="9.140625" style="52"/>
    <col min="5126" max="5126" width="12.85546875" style="52" customWidth="1"/>
    <col min="5127" max="5127" width="9.5703125" style="52" customWidth="1"/>
    <col min="5128" max="5128" width="13.140625" style="52" customWidth="1"/>
    <col min="5129" max="5129" width="11.85546875" style="52" customWidth="1"/>
    <col min="5130" max="5130" width="12.140625" style="52" customWidth="1"/>
    <col min="5131" max="5131" width="37.7109375" style="52" customWidth="1"/>
    <col min="5132" max="5378" width="9.140625" style="52"/>
    <col min="5379" max="5379" width="5.5703125" style="52" customWidth="1"/>
    <col min="5380" max="5380" width="97.7109375" style="52" customWidth="1"/>
    <col min="5381" max="5381" width="9.140625" style="52"/>
    <col min="5382" max="5382" width="12.85546875" style="52" customWidth="1"/>
    <col min="5383" max="5383" width="9.5703125" style="52" customWidth="1"/>
    <col min="5384" max="5384" width="13.140625" style="52" customWidth="1"/>
    <col min="5385" max="5385" width="11.85546875" style="52" customWidth="1"/>
    <col min="5386" max="5386" width="12.140625" style="52" customWidth="1"/>
    <col min="5387" max="5387" width="37.7109375" style="52" customWidth="1"/>
    <col min="5388" max="5634" width="9.140625" style="52"/>
    <col min="5635" max="5635" width="5.5703125" style="52" customWidth="1"/>
    <col min="5636" max="5636" width="97.7109375" style="52" customWidth="1"/>
    <col min="5637" max="5637" width="9.140625" style="52"/>
    <col min="5638" max="5638" width="12.85546875" style="52" customWidth="1"/>
    <col min="5639" max="5639" width="9.5703125" style="52" customWidth="1"/>
    <col min="5640" max="5640" width="13.140625" style="52" customWidth="1"/>
    <col min="5641" max="5641" width="11.85546875" style="52" customWidth="1"/>
    <col min="5642" max="5642" width="12.140625" style="52" customWidth="1"/>
    <col min="5643" max="5643" width="37.7109375" style="52" customWidth="1"/>
    <col min="5644" max="5890" width="9.140625" style="52"/>
    <col min="5891" max="5891" width="5.5703125" style="52" customWidth="1"/>
    <col min="5892" max="5892" width="97.7109375" style="52" customWidth="1"/>
    <col min="5893" max="5893" width="9.140625" style="52"/>
    <col min="5894" max="5894" width="12.85546875" style="52" customWidth="1"/>
    <col min="5895" max="5895" width="9.5703125" style="52" customWidth="1"/>
    <col min="5896" max="5896" width="13.140625" style="52" customWidth="1"/>
    <col min="5897" max="5897" width="11.85546875" style="52" customWidth="1"/>
    <col min="5898" max="5898" width="12.140625" style="52" customWidth="1"/>
    <col min="5899" max="5899" width="37.7109375" style="52" customWidth="1"/>
    <col min="5900" max="6146" width="9.140625" style="52"/>
    <col min="6147" max="6147" width="5.5703125" style="52" customWidth="1"/>
    <col min="6148" max="6148" width="97.7109375" style="52" customWidth="1"/>
    <col min="6149" max="6149" width="9.140625" style="52"/>
    <col min="6150" max="6150" width="12.85546875" style="52" customWidth="1"/>
    <col min="6151" max="6151" width="9.5703125" style="52" customWidth="1"/>
    <col min="6152" max="6152" width="13.140625" style="52" customWidth="1"/>
    <col min="6153" max="6153" width="11.85546875" style="52" customWidth="1"/>
    <col min="6154" max="6154" width="12.140625" style="52" customWidth="1"/>
    <col min="6155" max="6155" width="37.7109375" style="52" customWidth="1"/>
    <col min="6156" max="6402" width="9.140625" style="52"/>
    <col min="6403" max="6403" width="5.5703125" style="52" customWidth="1"/>
    <col min="6404" max="6404" width="97.7109375" style="52" customWidth="1"/>
    <col min="6405" max="6405" width="9.140625" style="52"/>
    <col min="6406" max="6406" width="12.85546875" style="52" customWidth="1"/>
    <col min="6407" max="6407" width="9.5703125" style="52" customWidth="1"/>
    <col min="6408" max="6408" width="13.140625" style="52" customWidth="1"/>
    <col min="6409" max="6409" width="11.85546875" style="52" customWidth="1"/>
    <col min="6410" max="6410" width="12.140625" style="52" customWidth="1"/>
    <col min="6411" max="6411" width="37.7109375" style="52" customWidth="1"/>
    <col min="6412" max="6658" width="9.140625" style="52"/>
    <col min="6659" max="6659" width="5.5703125" style="52" customWidth="1"/>
    <col min="6660" max="6660" width="97.7109375" style="52" customWidth="1"/>
    <col min="6661" max="6661" width="9.140625" style="52"/>
    <col min="6662" max="6662" width="12.85546875" style="52" customWidth="1"/>
    <col min="6663" max="6663" width="9.5703125" style="52" customWidth="1"/>
    <col min="6664" max="6664" width="13.140625" style="52" customWidth="1"/>
    <col min="6665" max="6665" width="11.85546875" style="52" customWidth="1"/>
    <col min="6666" max="6666" width="12.140625" style="52" customWidth="1"/>
    <col min="6667" max="6667" width="37.7109375" style="52" customWidth="1"/>
    <col min="6668" max="6914" width="9.140625" style="52"/>
    <col min="6915" max="6915" width="5.5703125" style="52" customWidth="1"/>
    <col min="6916" max="6916" width="97.7109375" style="52" customWidth="1"/>
    <col min="6917" max="6917" width="9.140625" style="52"/>
    <col min="6918" max="6918" width="12.85546875" style="52" customWidth="1"/>
    <col min="6919" max="6919" width="9.5703125" style="52" customWidth="1"/>
    <col min="6920" max="6920" width="13.140625" style="52" customWidth="1"/>
    <col min="6921" max="6921" width="11.85546875" style="52" customWidth="1"/>
    <col min="6922" max="6922" width="12.140625" style="52" customWidth="1"/>
    <col min="6923" max="6923" width="37.7109375" style="52" customWidth="1"/>
    <col min="6924" max="7170" width="9.140625" style="52"/>
    <col min="7171" max="7171" width="5.5703125" style="52" customWidth="1"/>
    <col min="7172" max="7172" width="97.7109375" style="52" customWidth="1"/>
    <col min="7173" max="7173" width="9.140625" style="52"/>
    <col min="7174" max="7174" width="12.85546875" style="52" customWidth="1"/>
    <col min="7175" max="7175" width="9.5703125" style="52" customWidth="1"/>
    <col min="7176" max="7176" width="13.140625" style="52" customWidth="1"/>
    <col min="7177" max="7177" width="11.85546875" style="52" customWidth="1"/>
    <col min="7178" max="7178" width="12.140625" style="52" customWidth="1"/>
    <col min="7179" max="7179" width="37.7109375" style="52" customWidth="1"/>
    <col min="7180" max="7426" width="9.140625" style="52"/>
    <col min="7427" max="7427" width="5.5703125" style="52" customWidth="1"/>
    <col min="7428" max="7428" width="97.7109375" style="52" customWidth="1"/>
    <col min="7429" max="7429" width="9.140625" style="52"/>
    <col min="7430" max="7430" width="12.85546875" style="52" customWidth="1"/>
    <col min="7431" max="7431" width="9.5703125" style="52" customWidth="1"/>
    <col min="7432" max="7432" width="13.140625" style="52" customWidth="1"/>
    <col min="7433" max="7433" width="11.85546875" style="52" customWidth="1"/>
    <col min="7434" max="7434" width="12.140625" style="52" customWidth="1"/>
    <col min="7435" max="7435" width="37.7109375" style="52" customWidth="1"/>
    <col min="7436" max="7682" width="9.140625" style="52"/>
    <col min="7683" max="7683" width="5.5703125" style="52" customWidth="1"/>
    <col min="7684" max="7684" width="97.7109375" style="52" customWidth="1"/>
    <col min="7685" max="7685" width="9.140625" style="52"/>
    <col min="7686" max="7686" width="12.85546875" style="52" customWidth="1"/>
    <col min="7687" max="7687" width="9.5703125" style="52" customWidth="1"/>
    <col min="7688" max="7688" width="13.140625" style="52" customWidth="1"/>
    <col min="7689" max="7689" width="11.85546875" style="52" customWidth="1"/>
    <col min="7690" max="7690" width="12.140625" style="52" customWidth="1"/>
    <col min="7691" max="7691" width="37.7109375" style="52" customWidth="1"/>
    <col min="7692" max="7938" width="9.140625" style="52"/>
    <col min="7939" max="7939" width="5.5703125" style="52" customWidth="1"/>
    <col min="7940" max="7940" width="97.7109375" style="52" customWidth="1"/>
    <col min="7941" max="7941" width="9.140625" style="52"/>
    <col min="7942" max="7942" width="12.85546875" style="52" customWidth="1"/>
    <col min="7943" max="7943" width="9.5703125" style="52" customWidth="1"/>
    <col min="7944" max="7944" width="13.140625" style="52" customWidth="1"/>
    <col min="7945" max="7945" width="11.85546875" style="52" customWidth="1"/>
    <col min="7946" max="7946" width="12.140625" style="52" customWidth="1"/>
    <col min="7947" max="7947" width="37.7109375" style="52" customWidth="1"/>
    <col min="7948" max="8194" width="9.140625" style="52"/>
    <col min="8195" max="8195" width="5.5703125" style="52" customWidth="1"/>
    <col min="8196" max="8196" width="97.7109375" style="52" customWidth="1"/>
    <col min="8197" max="8197" width="9.140625" style="52"/>
    <col min="8198" max="8198" width="12.85546875" style="52" customWidth="1"/>
    <col min="8199" max="8199" width="9.5703125" style="52" customWidth="1"/>
    <col min="8200" max="8200" width="13.140625" style="52" customWidth="1"/>
    <col min="8201" max="8201" width="11.85546875" style="52" customWidth="1"/>
    <col min="8202" max="8202" width="12.140625" style="52" customWidth="1"/>
    <col min="8203" max="8203" width="37.7109375" style="52" customWidth="1"/>
    <col min="8204" max="8450" width="9.140625" style="52"/>
    <col min="8451" max="8451" width="5.5703125" style="52" customWidth="1"/>
    <col min="8452" max="8452" width="97.7109375" style="52" customWidth="1"/>
    <col min="8453" max="8453" width="9.140625" style="52"/>
    <col min="8454" max="8454" width="12.85546875" style="52" customWidth="1"/>
    <col min="8455" max="8455" width="9.5703125" style="52" customWidth="1"/>
    <col min="8456" max="8456" width="13.140625" style="52" customWidth="1"/>
    <col min="8457" max="8457" width="11.85546875" style="52" customWidth="1"/>
    <col min="8458" max="8458" width="12.140625" style="52" customWidth="1"/>
    <col min="8459" max="8459" width="37.7109375" style="52" customWidth="1"/>
    <col min="8460" max="8706" width="9.140625" style="52"/>
    <col min="8707" max="8707" width="5.5703125" style="52" customWidth="1"/>
    <col min="8708" max="8708" width="97.7109375" style="52" customWidth="1"/>
    <col min="8709" max="8709" width="9.140625" style="52"/>
    <col min="8710" max="8710" width="12.85546875" style="52" customWidth="1"/>
    <col min="8711" max="8711" width="9.5703125" style="52" customWidth="1"/>
    <col min="8712" max="8712" width="13.140625" style="52" customWidth="1"/>
    <col min="8713" max="8713" width="11.85546875" style="52" customWidth="1"/>
    <col min="8714" max="8714" width="12.140625" style="52" customWidth="1"/>
    <col min="8715" max="8715" width="37.7109375" style="52" customWidth="1"/>
    <col min="8716" max="8962" width="9.140625" style="52"/>
    <col min="8963" max="8963" width="5.5703125" style="52" customWidth="1"/>
    <col min="8964" max="8964" width="97.7109375" style="52" customWidth="1"/>
    <col min="8965" max="8965" width="9.140625" style="52"/>
    <col min="8966" max="8966" width="12.85546875" style="52" customWidth="1"/>
    <col min="8967" max="8967" width="9.5703125" style="52" customWidth="1"/>
    <col min="8968" max="8968" width="13.140625" style="52" customWidth="1"/>
    <col min="8969" max="8969" width="11.85546875" style="52" customWidth="1"/>
    <col min="8970" max="8970" width="12.140625" style="52" customWidth="1"/>
    <col min="8971" max="8971" width="37.7109375" style="52" customWidth="1"/>
    <col min="8972" max="9218" width="9.140625" style="52"/>
    <col min="9219" max="9219" width="5.5703125" style="52" customWidth="1"/>
    <col min="9220" max="9220" width="97.7109375" style="52" customWidth="1"/>
    <col min="9221" max="9221" width="9.140625" style="52"/>
    <col min="9222" max="9222" width="12.85546875" style="52" customWidth="1"/>
    <col min="9223" max="9223" width="9.5703125" style="52" customWidth="1"/>
    <col min="9224" max="9224" width="13.140625" style="52" customWidth="1"/>
    <col min="9225" max="9225" width="11.85546875" style="52" customWidth="1"/>
    <col min="9226" max="9226" width="12.140625" style="52" customWidth="1"/>
    <col min="9227" max="9227" width="37.7109375" style="52" customWidth="1"/>
    <col min="9228" max="9474" width="9.140625" style="52"/>
    <col min="9475" max="9475" width="5.5703125" style="52" customWidth="1"/>
    <col min="9476" max="9476" width="97.7109375" style="52" customWidth="1"/>
    <col min="9477" max="9477" width="9.140625" style="52"/>
    <col min="9478" max="9478" width="12.85546875" style="52" customWidth="1"/>
    <col min="9479" max="9479" width="9.5703125" style="52" customWidth="1"/>
    <col min="9480" max="9480" width="13.140625" style="52" customWidth="1"/>
    <col min="9481" max="9481" width="11.85546875" style="52" customWidth="1"/>
    <col min="9482" max="9482" width="12.140625" style="52" customWidth="1"/>
    <col min="9483" max="9483" width="37.7109375" style="52" customWidth="1"/>
    <col min="9484" max="9730" width="9.140625" style="52"/>
    <col min="9731" max="9731" width="5.5703125" style="52" customWidth="1"/>
    <col min="9732" max="9732" width="97.7109375" style="52" customWidth="1"/>
    <col min="9733" max="9733" width="9.140625" style="52"/>
    <col min="9734" max="9734" width="12.85546875" style="52" customWidth="1"/>
    <col min="9735" max="9735" width="9.5703125" style="52" customWidth="1"/>
    <col min="9736" max="9736" width="13.140625" style="52" customWidth="1"/>
    <col min="9737" max="9737" width="11.85546875" style="52" customWidth="1"/>
    <col min="9738" max="9738" width="12.140625" style="52" customWidth="1"/>
    <col min="9739" max="9739" width="37.7109375" style="52" customWidth="1"/>
    <col min="9740" max="9986" width="9.140625" style="52"/>
    <col min="9987" max="9987" width="5.5703125" style="52" customWidth="1"/>
    <col min="9988" max="9988" width="97.7109375" style="52" customWidth="1"/>
    <col min="9989" max="9989" width="9.140625" style="52"/>
    <col min="9990" max="9990" width="12.85546875" style="52" customWidth="1"/>
    <col min="9991" max="9991" width="9.5703125" style="52" customWidth="1"/>
    <col min="9992" max="9992" width="13.140625" style="52" customWidth="1"/>
    <col min="9993" max="9993" width="11.85546875" style="52" customWidth="1"/>
    <col min="9994" max="9994" width="12.140625" style="52" customWidth="1"/>
    <col min="9995" max="9995" width="37.7109375" style="52" customWidth="1"/>
    <col min="9996" max="10242" width="9.140625" style="52"/>
    <col min="10243" max="10243" width="5.5703125" style="52" customWidth="1"/>
    <col min="10244" max="10244" width="97.7109375" style="52" customWidth="1"/>
    <col min="10245" max="10245" width="9.140625" style="52"/>
    <col min="10246" max="10246" width="12.85546875" style="52" customWidth="1"/>
    <col min="10247" max="10247" width="9.5703125" style="52" customWidth="1"/>
    <col min="10248" max="10248" width="13.140625" style="52" customWidth="1"/>
    <col min="10249" max="10249" width="11.85546875" style="52" customWidth="1"/>
    <col min="10250" max="10250" width="12.140625" style="52" customWidth="1"/>
    <col min="10251" max="10251" width="37.7109375" style="52" customWidth="1"/>
    <col min="10252" max="10498" width="9.140625" style="52"/>
    <col min="10499" max="10499" width="5.5703125" style="52" customWidth="1"/>
    <col min="10500" max="10500" width="97.7109375" style="52" customWidth="1"/>
    <col min="10501" max="10501" width="9.140625" style="52"/>
    <col min="10502" max="10502" width="12.85546875" style="52" customWidth="1"/>
    <col min="10503" max="10503" width="9.5703125" style="52" customWidth="1"/>
    <col min="10504" max="10504" width="13.140625" style="52" customWidth="1"/>
    <col min="10505" max="10505" width="11.85546875" style="52" customWidth="1"/>
    <col min="10506" max="10506" width="12.140625" style="52" customWidth="1"/>
    <col min="10507" max="10507" width="37.7109375" style="52" customWidth="1"/>
    <col min="10508" max="10754" width="9.140625" style="52"/>
    <col min="10755" max="10755" width="5.5703125" style="52" customWidth="1"/>
    <col min="10756" max="10756" width="97.7109375" style="52" customWidth="1"/>
    <col min="10757" max="10757" width="9.140625" style="52"/>
    <col min="10758" max="10758" width="12.85546875" style="52" customWidth="1"/>
    <col min="10759" max="10759" width="9.5703125" style="52" customWidth="1"/>
    <col min="10760" max="10760" width="13.140625" style="52" customWidth="1"/>
    <col min="10761" max="10761" width="11.85546875" style="52" customWidth="1"/>
    <col min="10762" max="10762" width="12.140625" style="52" customWidth="1"/>
    <col min="10763" max="10763" width="37.7109375" style="52" customWidth="1"/>
    <col min="10764" max="11010" width="9.140625" style="52"/>
    <col min="11011" max="11011" width="5.5703125" style="52" customWidth="1"/>
    <col min="11012" max="11012" width="97.7109375" style="52" customWidth="1"/>
    <col min="11013" max="11013" width="9.140625" style="52"/>
    <col min="11014" max="11014" width="12.85546875" style="52" customWidth="1"/>
    <col min="11015" max="11015" width="9.5703125" style="52" customWidth="1"/>
    <col min="11016" max="11016" width="13.140625" style="52" customWidth="1"/>
    <col min="11017" max="11017" width="11.85546875" style="52" customWidth="1"/>
    <col min="11018" max="11018" width="12.140625" style="52" customWidth="1"/>
    <col min="11019" max="11019" width="37.7109375" style="52" customWidth="1"/>
    <col min="11020" max="11266" width="9.140625" style="52"/>
    <col min="11267" max="11267" width="5.5703125" style="52" customWidth="1"/>
    <col min="11268" max="11268" width="97.7109375" style="52" customWidth="1"/>
    <col min="11269" max="11269" width="9.140625" style="52"/>
    <col min="11270" max="11270" width="12.85546875" style="52" customWidth="1"/>
    <col min="11271" max="11271" width="9.5703125" style="52" customWidth="1"/>
    <col min="11272" max="11272" width="13.140625" style="52" customWidth="1"/>
    <col min="11273" max="11273" width="11.85546875" style="52" customWidth="1"/>
    <col min="11274" max="11274" width="12.140625" style="52" customWidth="1"/>
    <col min="11275" max="11275" width="37.7109375" style="52" customWidth="1"/>
    <col min="11276" max="11522" width="9.140625" style="52"/>
    <col min="11523" max="11523" width="5.5703125" style="52" customWidth="1"/>
    <col min="11524" max="11524" width="97.7109375" style="52" customWidth="1"/>
    <col min="11525" max="11525" width="9.140625" style="52"/>
    <col min="11526" max="11526" width="12.85546875" style="52" customWidth="1"/>
    <col min="11527" max="11527" width="9.5703125" style="52" customWidth="1"/>
    <col min="11528" max="11528" width="13.140625" style="52" customWidth="1"/>
    <col min="11529" max="11529" width="11.85546875" style="52" customWidth="1"/>
    <col min="11530" max="11530" width="12.140625" style="52" customWidth="1"/>
    <col min="11531" max="11531" width="37.7109375" style="52" customWidth="1"/>
    <col min="11532" max="11778" width="9.140625" style="52"/>
    <col min="11779" max="11779" width="5.5703125" style="52" customWidth="1"/>
    <col min="11780" max="11780" width="97.7109375" style="52" customWidth="1"/>
    <col min="11781" max="11781" width="9.140625" style="52"/>
    <col min="11782" max="11782" width="12.85546875" style="52" customWidth="1"/>
    <col min="11783" max="11783" width="9.5703125" style="52" customWidth="1"/>
    <col min="11784" max="11784" width="13.140625" style="52" customWidth="1"/>
    <col min="11785" max="11785" width="11.85546875" style="52" customWidth="1"/>
    <col min="11786" max="11786" width="12.140625" style="52" customWidth="1"/>
    <col min="11787" max="11787" width="37.7109375" style="52" customWidth="1"/>
    <col min="11788" max="12034" width="9.140625" style="52"/>
    <col min="12035" max="12035" width="5.5703125" style="52" customWidth="1"/>
    <col min="12036" max="12036" width="97.7109375" style="52" customWidth="1"/>
    <col min="12037" max="12037" width="9.140625" style="52"/>
    <col min="12038" max="12038" width="12.85546875" style="52" customWidth="1"/>
    <col min="12039" max="12039" width="9.5703125" style="52" customWidth="1"/>
    <col min="12040" max="12040" width="13.140625" style="52" customWidth="1"/>
    <col min="12041" max="12041" width="11.85546875" style="52" customWidth="1"/>
    <col min="12042" max="12042" width="12.140625" style="52" customWidth="1"/>
    <col min="12043" max="12043" width="37.7109375" style="52" customWidth="1"/>
    <col min="12044" max="12290" width="9.140625" style="52"/>
    <col min="12291" max="12291" width="5.5703125" style="52" customWidth="1"/>
    <col min="12292" max="12292" width="97.7109375" style="52" customWidth="1"/>
    <col min="12293" max="12293" width="9.140625" style="52"/>
    <col min="12294" max="12294" width="12.85546875" style="52" customWidth="1"/>
    <col min="12295" max="12295" width="9.5703125" style="52" customWidth="1"/>
    <col min="12296" max="12296" width="13.140625" style="52" customWidth="1"/>
    <col min="12297" max="12297" width="11.85546875" style="52" customWidth="1"/>
    <col min="12298" max="12298" width="12.140625" style="52" customWidth="1"/>
    <col min="12299" max="12299" width="37.7109375" style="52" customWidth="1"/>
    <col min="12300" max="12546" width="9.140625" style="52"/>
    <col min="12547" max="12547" width="5.5703125" style="52" customWidth="1"/>
    <col min="12548" max="12548" width="97.7109375" style="52" customWidth="1"/>
    <col min="12549" max="12549" width="9.140625" style="52"/>
    <col min="12550" max="12550" width="12.85546875" style="52" customWidth="1"/>
    <col min="12551" max="12551" width="9.5703125" style="52" customWidth="1"/>
    <col min="12552" max="12552" width="13.140625" style="52" customWidth="1"/>
    <col min="12553" max="12553" width="11.85546875" style="52" customWidth="1"/>
    <col min="12554" max="12554" width="12.140625" style="52" customWidth="1"/>
    <col min="12555" max="12555" width="37.7109375" style="52" customWidth="1"/>
    <col min="12556" max="12802" width="9.140625" style="52"/>
    <col min="12803" max="12803" width="5.5703125" style="52" customWidth="1"/>
    <col min="12804" max="12804" width="97.7109375" style="52" customWidth="1"/>
    <col min="12805" max="12805" width="9.140625" style="52"/>
    <col min="12806" max="12806" width="12.85546875" style="52" customWidth="1"/>
    <col min="12807" max="12807" width="9.5703125" style="52" customWidth="1"/>
    <col min="12808" max="12808" width="13.140625" style="52" customWidth="1"/>
    <col min="12809" max="12809" width="11.85546875" style="52" customWidth="1"/>
    <col min="12810" max="12810" width="12.140625" style="52" customWidth="1"/>
    <col min="12811" max="12811" width="37.7109375" style="52" customWidth="1"/>
    <col min="12812" max="13058" width="9.140625" style="52"/>
    <col min="13059" max="13059" width="5.5703125" style="52" customWidth="1"/>
    <col min="13060" max="13060" width="97.7109375" style="52" customWidth="1"/>
    <col min="13061" max="13061" width="9.140625" style="52"/>
    <col min="13062" max="13062" width="12.85546875" style="52" customWidth="1"/>
    <col min="13063" max="13063" width="9.5703125" style="52" customWidth="1"/>
    <col min="13064" max="13064" width="13.140625" style="52" customWidth="1"/>
    <col min="13065" max="13065" width="11.85546875" style="52" customWidth="1"/>
    <col min="13066" max="13066" width="12.140625" style="52" customWidth="1"/>
    <col min="13067" max="13067" width="37.7109375" style="52" customWidth="1"/>
    <col min="13068" max="13314" width="9.140625" style="52"/>
    <col min="13315" max="13315" width="5.5703125" style="52" customWidth="1"/>
    <col min="13316" max="13316" width="97.7109375" style="52" customWidth="1"/>
    <col min="13317" max="13317" width="9.140625" style="52"/>
    <col min="13318" max="13318" width="12.85546875" style="52" customWidth="1"/>
    <col min="13319" max="13319" width="9.5703125" style="52" customWidth="1"/>
    <col min="13320" max="13320" width="13.140625" style="52" customWidth="1"/>
    <col min="13321" max="13321" width="11.85546875" style="52" customWidth="1"/>
    <col min="13322" max="13322" width="12.140625" style="52" customWidth="1"/>
    <col min="13323" max="13323" width="37.7109375" style="52" customWidth="1"/>
    <col min="13324" max="13570" width="9.140625" style="52"/>
    <col min="13571" max="13571" width="5.5703125" style="52" customWidth="1"/>
    <col min="13572" max="13572" width="97.7109375" style="52" customWidth="1"/>
    <col min="13573" max="13573" width="9.140625" style="52"/>
    <col min="13574" max="13574" width="12.85546875" style="52" customWidth="1"/>
    <col min="13575" max="13575" width="9.5703125" style="52" customWidth="1"/>
    <col min="13576" max="13576" width="13.140625" style="52" customWidth="1"/>
    <col min="13577" max="13577" width="11.85546875" style="52" customWidth="1"/>
    <col min="13578" max="13578" width="12.140625" style="52" customWidth="1"/>
    <col min="13579" max="13579" width="37.7109375" style="52" customWidth="1"/>
    <col min="13580" max="13826" width="9.140625" style="52"/>
    <col min="13827" max="13827" width="5.5703125" style="52" customWidth="1"/>
    <col min="13828" max="13828" width="97.7109375" style="52" customWidth="1"/>
    <col min="13829" max="13829" width="9.140625" style="52"/>
    <col min="13830" max="13830" width="12.85546875" style="52" customWidth="1"/>
    <col min="13831" max="13831" width="9.5703125" style="52" customWidth="1"/>
    <col min="13832" max="13832" width="13.140625" style="52" customWidth="1"/>
    <col min="13833" max="13833" width="11.85546875" style="52" customWidth="1"/>
    <col min="13834" max="13834" width="12.140625" style="52" customWidth="1"/>
    <col min="13835" max="13835" width="37.7109375" style="52" customWidth="1"/>
    <col min="13836" max="14082" width="9.140625" style="52"/>
    <col min="14083" max="14083" width="5.5703125" style="52" customWidth="1"/>
    <col min="14084" max="14084" width="97.7109375" style="52" customWidth="1"/>
    <col min="14085" max="14085" width="9.140625" style="52"/>
    <col min="14086" max="14086" width="12.85546875" style="52" customWidth="1"/>
    <col min="14087" max="14087" width="9.5703125" style="52" customWidth="1"/>
    <col min="14088" max="14088" width="13.140625" style="52" customWidth="1"/>
    <col min="14089" max="14089" width="11.85546875" style="52" customWidth="1"/>
    <col min="14090" max="14090" width="12.140625" style="52" customWidth="1"/>
    <col min="14091" max="14091" width="37.7109375" style="52" customWidth="1"/>
    <col min="14092" max="14338" width="9.140625" style="52"/>
    <col min="14339" max="14339" width="5.5703125" style="52" customWidth="1"/>
    <col min="14340" max="14340" width="97.7109375" style="52" customWidth="1"/>
    <col min="14341" max="14341" width="9.140625" style="52"/>
    <col min="14342" max="14342" width="12.85546875" style="52" customWidth="1"/>
    <col min="14343" max="14343" width="9.5703125" style="52" customWidth="1"/>
    <col min="14344" max="14344" width="13.140625" style="52" customWidth="1"/>
    <col min="14345" max="14345" width="11.85546875" style="52" customWidth="1"/>
    <col min="14346" max="14346" width="12.140625" style="52" customWidth="1"/>
    <col min="14347" max="14347" width="37.7109375" style="52" customWidth="1"/>
    <col min="14348" max="14594" width="9.140625" style="52"/>
    <col min="14595" max="14595" width="5.5703125" style="52" customWidth="1"/>
    <col min="14596" max="14596" width="97.7109375" style="52" customWidth="1"/>
    <col min="14597" max="14597" width="9.140625" style="52"/>
    <col min="14598" max="14598" width="12.85546875" style="52" customWidth="1"/>
    <col min="14599" max="14599" width="9.5703125" style="52" customWidth="1"/>
    <col min="14600" max="14600" width="13.140625" style="52" customWidth="1"/>
    <col min="14601" max="14601" width="11.85546875" style="52" customWidth="1"/>
    <col min="14602" max="14602" width="12.140625" style="52" customWidth="1"/>
    <col min="14603" max="14603" width="37.7109375" style="52" customWidth="1"/>
    <col min="14604" max="14850" width="9.140625" style="52"/>
    <col min="14851" max="14851" width="5.5703125" style="52" customWidth="1"/>
    <col min="14852" max="14852" width="97.7109375" style="52" customWidth="1"/>
    <col min="14853" max="14853" width="9.140625" style="52"/>
    <col min="14854" max="14854" width="12.85546875" style="52" customWidth="1"/>
    <col min="14855" max="14855" width="9.5703125" style="52" customWidth="1"/>
    <col min="14856" max="14856" width="13.140625" style="52" customWidth="1"/>
    <col min="14857" max="14857" width="11.85546875" style="52" customWidth="1"/>
    <col min="14858" max="14858" width="12.140625" style="52" customWidth="1"/>
    <col min="14859" max="14859" width="37.7109375" style="52" customWidth="1"/>
    <col min="14860" max="15106" width="9.140625" style="52"/>
    <col min="15107" max="15107" width="5.5703125" style="52" customWidth="1"/>
    <col min="15108" max="15108" width="97.7109375" style="52" customWidth="1"/>
    <col min="15109" max="15109" width="9.140625" style="52"/>
    <col min="15110" max="15110" width="12.85546875" style="52" customWidth="1"/>
    <col min="15111" max="15111" width="9.5703125" style="52" customWidth="1"/>
    <col min="15112" max="15112" width="13.140625" style="52" customWidth="1"/>
    <col min="15113" max="15113" width="11.85546875" style="52" customWidth="1"/>
    <col min="15114" max="15114" width="12.140625" style="52" customWidth="1"/>
    <col min="15115" max="15115" width="37.7109375" style="52" customWidth="1"/>
    <col min="15116" max="15362" width="9.140625" style="52"/>
    <col min="15363" max="15363" width="5.5703125" style="52" customWidth="1"/>
    <col min="15364" max="15364" width="97.7109375" style="52" customWidth="1"/>
    <col min="15365" max="15365" width="9.140625" style="52"/>
    <col min="15366" max="15366" width="12.85546875" style="52" customWidth="1"/>
    <col min="15367" max="15367" width="9.5703125" style="52" customWidth="1"/>
    <col min="15368" max="15368" width="13.140625" style="52" customWidth="1"/>
    <col min="15369" max="15369" width="11.85546875" style="52" customWidth="1"/>
    <col min="15370" max="15370" width="12.140625" style="52" customWidth="1"/>
    <col min="15371" max="15371" width="37.7109375" style="52" customWidth="1"/>
    <col min="15372" max="15618" width="9.140625" style="52"/>
    <col min="15619" max="15619" width="5.5703125" style="52" customWidth="1"/>
    <col min="15620" max="15620" width="97.7109375" style="52" customWidth="1"/>
    <col min="15621" max="15621" width="9.140625" style="52"/>
    <col min="15622" max="15622" width="12.85546875" style="52" customWidth="1"/>
    <col min="15623" max="15623" width="9.5703125" style="52" customWidth="1"/>
    <col min="15624" max="15624" width="13.140625" style="52" customWidth="1"/>
    <col min="15625" max="15625" width="11.85546875" style="52" customWidth="1"/>
    <col min="15626" max="15626" width="12.140625" style="52" customWidth="1"/>
    <col min="15627" max="15627" width="37.7109375" style="52" customWidth="1"/>
    <col min="15628" max="15874" width="9.140625" style="52"/>
    <col min="15875" max="15875" width="5.5703125" style="52" customWidth="1"/>
    <col min="15876" max="15876" width="97.7109375" style="52" customWidth="1"/>
    <col min="15877" max="15877" width="9.140625" style="52"/>
    <col min="15878" max="15878" width="12.85546875" style="52" customWidth="1"/>
    <col min="15879" max="15879" width="9.5703125" style="52" customWidth="1"/>
    <col min="15880" max="15880" width="13.140625" style="52" customWidth="1"/>
    <col min="15881" max="15881" width="11.85546875" style="52" customWidth="1"/>
    <col min="15882" max="15882" width="12.140625" style="52" customWidth="1"/>
    <col min="15883" max="15883" width="37.7109375" style="52" customWidth="1"/>
    <col min="15884" max="16130" width="9.140625" style="52"/>
    <col min="16131" max="16131" width="5.5703125" style="52" customWidth="1"/>
    <col min="16132" max="16132" width="97.7109375" style="52" customWidth="1"/>
    <col min="16133" max="16133" width="9.140625" style="52"/>
    <col min="16134" max="16134" width="12.85546875" style="52" customWidth="1"/>
    <col min="16135" max="16135" width="9.5703125" style="52" customWidth="1"/>
    <col min="16136" max="16136" width="13.140625" style="52" customWidth="1"/>
    <col min="16137" max="16137" width="11.85546875" style="52" customWidth="1"/>
    <col min="16138" max="16138" width="12.140625" style="52" customWidth="1"/>
    <col min="16139" max="16139" width="37.7109375" style="52" customWidth="1"/>
    <col min="16140" max="16384" width="9.140625" style="52"/>
  </cols>
  <sheetData>
    <row r="1" spans="1:14" ht="27.75" customHeight="1">
      <c r="A1" s="521" t="s">
        <v>683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</row>
    <row r="2" spans="1:14" ht="18.75" thickBot="1">
      <c r="A2" s="522"/>
      <c r="B2" s="522"/>
      <c r="F2" s="325"/>
      <c r="K2" s="53" t="s">
        <v>438</v>
      </c>
    </row>
    <row r="3" spans="1:14" ht="18.75" customHeight="1">
      <c r="A3" s="523" t="s">
        <v>452</v>
      </c>
      <c r="B3" s="525" t="s">
        <v>179</v>
      </c>
      <c r="C3" s="527" t="s">
        <v>17</v>
      </c>
      <c r="D3" s="532" t="s">
        <v>547</v>
      </c>
      <c r="E3" s="532" t="s">
        <v>536</v>
      </c>
      <c r="F3" s="527" t="s">
        <v>521</v>
      </c>
      <c r="G3" s="527" t="s">
        <v>376</v>
      </c>
      <c r="H3" s="527"/>
      <c r="I3" s="527"/>
      <c r="J3" s="527"/>
      <c r="K3" s="528" t="s">
        <v>168</v>
      </c>
    </row>
    <row r="4" spans="1:14" ht="62.25" customHeight="1" thickBot="1">
      <c r="A4" s="524"/>
      <c r="B4" s="526"/>
      <c r="C4" s="485"/>
      <c r="D4" s="533"/>
      <c r="E4" s="533"/>
      <c r="F4" s="485"/>
      <c r="G4" s="319" t="s">
        <v>141</v>
      </c>
      <c r="H4" s="319" t="s">
        <v>142</v>
      </c>
      <c r="I4" s="319" t="s">
        <v>143</v>
      </c>
      <c r="J4" s="319" t="s">
        <v>68</v>
      </c>
      <c r="K4" s="529"/>
    </row>
    <row r="5" spans="1:14" ht="24.75" customHeight="1" thickBot="1">
      <c r="A5" s="326"/>
      <c r="B5" s="299" t="s">
        <v>453</v>
      </c>
      <c r="C5" s="327"/>
      <c r="D5" s="328"/>
      <c r="E5" s="328"/>
      <c r="F5" s="363">
        <f>SUM(G5:J5)</f>
        <v>56671.399999999994</v>
      </c>
      <c r="G5" s="364">
        <f>G6+G8+G16</f>
        <v>14546.9</v>
      </c>
      <c r="H5" s="364">
        <f>H6+H8+H16</f>
        <v>14466.8</v>
      </c>
      <c r="I5" s="364">
        <f>I6+I8+I16</f>
        <v>12834.3</v>
      </c>
      <c r="J5" s="364">
        <f>J6+J8+J16</f>
        <v>14823.399999999998</v>
      </c>
      <c r="K5" s="329"/>
    </row>
    <row r="6" spans="1:14" ht="28.5" customHeight="1">
      <c r="A6" s="535" t="s">
        <v>454</v>
      </c>
      <c r="B6" s="536"/>
      <c r="C6" s="330">
        <v>1000</v>
      </c>
      <c r="D6" s="330"/>
      <c r="E6" s="330"/>
      <c r="F6" s="363">
        <f>SUM(G6:J6)</f>
        <v>236.39999999999998</v>
      </c>
      <c r="G6" s="365">
        <f>G7</f>
        <v>50.3</v>
      </c>
      <c r="H6" s="365">
        <f>H7</f>
        <v>52.5</v>
      </c>
      <c r="I6" s="365">
        <f>I7</f>
        <v>65.900000000000006</v>
      </c>
      <c r="J6" s="365">
        <f>J7</f>
        <v>67.7</v>
      </c>
      <c r="K6" s="331"/>
      <c r="L6" s="243"/>
    </row>
    <row r="7" spans="1:14" ht="24" customHeight="1">
      <c r="A7" s="332" t="s">
        <v>455</v>
      </c>
      <c r="B7" s="333" t="s">
        <v>694</v>
      </c>
      <c r="C7" s="314"/>
      <c r="D7" s="314"/>
      <c r="E7" s="314"/>
      <c r="F7" s="366">
        <f t="shared" ref="F7:F55" si="0">SUM(G7:J7)</f>
        <v>236.39999999999998</v>
      </c>
      <c r="G7" s="367">
        <v>50.3</v>
      </c>
      <c r="H7" s="367">
        <v>52.5</v>
      </c>
      <c r="I7" s="367">
        <v>65.900000000000006</v>
      </c>
      <c r="J7" s="367">
        <v>67.7</v>
      </c>
      <c r="K7" s="334"/>
    </row>
    <row r="8" spans="1:14" ht="36.75" customHeight="1">
      <c r="A8" s="537" t="s">
        <v>456</v>
      </c>
      <c r="B8" s="538"/>
      <c r="C8" s="236">
        <v>1073</v>
      </c>
      <c r="D8" s="335"/>
      <c r="E8" s="236"/>
      <c r="F8" s="194">
        <f t="shared" si="0"/>
        <v>56105.5</v>
      </c>
      <c r="G8" s="194">
        <f>G9+G10+G11+G12+G13+G14+G15</f>
        <v>14496.6</v>
      </c>
      <c r="H8" s="194">
        <f t="shared" ref="H8:I8" si="1">H9+H10+H11+H12+H13+H14+H15</f>
        <v>14413.3</v>
      </c>
      <c r="I8" s="194">
        <f t="shared" si="1"/>
        <v>12450.4</v>
      </c>
      <c r="J8" s="194">
        <f>J9+J10+J11+J12+J13+J14+J15</f>
        <v>14745.199999999997</v>
      </c>
      <c r="K8" s="300"/>
    </row>
    <row r="9" spans="1:14" ht="23.25" customHeight="1">
      <c r="A9" s="336" t="s">
        <v>455</v>
      </c>
      <c r="B9" s="8" t="s">
        <v>684</v>
      </c>
      <c r="C9" s="236"/>
      <c r="D9" s="315"/>
      <c r="E9" s="315"/>
      <c r="F9" s="193">
        <f>SUM(G9:J9)</f>
        <v>46241.999999999993</v>
      </c>
      <c r="G9" s="193">
        <f>12146.3</f>
        <v>12146.3</v>
      </c>
      <c r="H9" s="193">
        <f>12729.8</f>
        <v>12729.8</v>
      </c>
      <c r="I9" s="193">
        <f>10301.3</f>
        <v>10301.299999999999</v>
      </c>
      <c r="J9" s="193">
        <f>11064.6</f>
        <v>11064.6</v>
      </c>
      <c r="K9" s="300"/>
    </row>
    <row r="10" spans="1:14" ht="27.75" customHeight="1">
      <c r="A10" s="337" t="s">
        <v>457</v>
      </c>
      <c r="B10" s="8" t="s">
        <v>688</v>
      </c>
      <c r="C10" s="338"/>
      <c r="D10" s="338"/>
      <c r="E10" s="339"/>
      <c r="F10" s="193">
        <f>SUM(G10:J10)</f>
        <v>8248</v>
      </c>
      <c r="G10" s="193">
        <f>1951.9</f>
        <v>1951.9</v>
      </c>
      <c r="H10" s="193">
        <v>1325.7</v>
      </c>
      <c r="I10" s="193">
        <f>1386.7+315.5</f>
        <v>1702.2</v>
      </c>
      <c r="J10" s="193">
        <v>3268.2</v>
      </c>
      <c r="K10" s="300"/>
      <c r="L10" s="20"/>
    </row>
    <row r="11" spans="1:14" ht="45" customHeight="1">
      <c r="A11" s="337" t="s">
        <v>458</v>
      </c>
      <c r="B11" s="201" t="s">
        <v>689</v>
      </c>
      <c r="C11" s="338"/>
      <c r="D11" s="338"/>
      <c r="E11" s="338"/>
      <c r="F11" s="193">
        <f t="shared" si="0"/>
        <v>938.7</v>
      </c>
      <c r="G11" s="193">
        <f>210.6+9.1</f>
        <v>219.7</v>
      </c>
      <c r="H11" s="193">
        <f>168.2+7+0.6</f>
        <v>175.79999999999998</v>
      </c>
      <c r="I11" s="193">
        <v>327.60000000000002</v>
      </c>
      <c r="J11" s="193">
        <f>194.4+16.3+4.9</f>
        <v>215.60000000000002</v>
      </c>
      <c r="K11" s="300"/>
      <c r="L11" s="340"/>
    </row>
    <row r="12" spans="1:14" ht="45" customHeight="1">
      <c r="A12" s="337"/>
      <c r="B12" s="201" t="s">
        <v>707</v>
      </c>
      <c r="C12" s="338"/>
      <c r="D12" s="338"/>
      <c r="E12" s="338"/>
      <c r="F12" s="193">
        <f t="shared" si="0"/>
        <v>9.3000000000000007</v>
      </c>
      <c r="G12" s="193">
        <v>7</v>
      </c>
      <c r="H12" s="193">
        <v>0.5</v>
      </c>
      <c r="I12" s="193"/>
      <c r="J12" s="193">
        <v>1.8</v>
      </c>
      <c r="K12" s="300"/>
      <c r="L12" s="340"/>
    </row>
    <row r="13" spans="1:14" ht="29.25" customHeight="1">
      <c r="A13" s="337" t="s">
        <v>459</v>
      </c>
      <c r="B13" s="201" t="s">
        <v>690</v>
      </c>
      <c r="C13" s="338"/>
      <c r="D13" s="338"/>
      <c r="E13" s="338"/>
      <c r="F13" s="193">
        <f>SUM(G13:J13)</f>
        <v>599.9</v>
      </c>
      <c r="G13" s="193">
        <f>116.3+39.8</f>
        <v>156.1</v>
      </c>
      <c r="H13" s="193">
        <v>166.1</v>
      </c>
      <c r="I13" s="193">
        <v>106.8</v>
      </c>
      <c r="J13" s="193">
        <f>165.5+5.4</f>
        <v>170.9</v>
      </c>
      <c r="K13" s="300"/>
    </row>
    <row r="14" spans="1:14" ht="30.75" customHeight="1">
      <c r="A14" s="337" t="s">
        <v>486</v>
      </c>
      <c r="B14" s="201" t="s">
        <v>691</v>
      </c>
      <c r="C14" s="338"/>
      <c r="D14" s="339"/>
      <c r="E14" s="338"/>
      <c r="F14" s="193">
        <f t="shared" si="0"/>
        <v>65.8</v>
      </c>
      <c r="G14" s="368">
        <v>15.2</v>
      </c>
      <c r="H14" s="368">
        <v>14.8</v>
      </c>
      <c r="I14" s="368">
        <v>12</v>
      </c>
      <c r="J14" s="368">
        <v>23.8</v>
      </c>
      <c r="K14" s="341"/>
      <c r="M14" s="340"/>
    </row>
    <row r="15" spans="1:14" ht="34.5" customHeight="1">
      <c r="A15" s="337" t="s">
        <v>487</v>
      </c>
      <c r="B15" s="201" t="s">
        <v>692</v>
      </c>
      <c r="C15" s="318"/>
      <c r="D15" s="313"/>
      <c r="E15" s="249"/>
      <c r="F15" s="193">
        <f t="shared" si="0"/>
        <v>1.8</v>
      </c>
      <c r="G15" s="368">
        <v>0.4</v>
      </c>
      <c r="H15" s="368">
        <v>0.6</v>
      </c>
      <c r="I15" s="368">
        <v>0.5</v>
      </c>
      <c r="J15" s="368">
        <v>0.3</v>
      </c>
      <c r="K15" s="341"/>
      <c r="L15" s="243"/>
      <c r="M15" s="340"/>
      <c r="N15" s="340"/>
    </row>
    <row r="16" spans="1:14" ht="28.5" customHeight="1">
      <c r="A16" s="530" t="s">
        <v>227</v>
      </c>
      <c r="B16" s="531"/>
      <c r="C16" s="236"/>
      <c r="D16" s="335"/>
      <c r="E16" s="236"/>
      <c r="F16" s="194">
        <f t="shared" si="0"/>
        <v>329.5</v>
      </c>
      <c r="G16" s="369">
        <f>G17</f>
        <v>0</v>
      </c>
      <c r="H16" s="369">
        <f t="shared" ref="H16:J16" si="2">H17</f>
        <v>1</v>
      </c>
      <c r="I16" s="369">
        <f t="shared" si="2"/>
        <v>318</v>
      </c>
      <c r="J16" s="369">
        <f t="shared" si="2"/>
        <v>10.5</v>
      </c>
      <c r="K16" s="342"/>
      <c r="L16" s="243"/>
      <c r="N16" s="340"/>
    </row>
    <row r="17" spans="1:15" ht="35.25" customHeight="1" thickBot="1">
      <c r="A17" s="343">
        <v>1</v>
      </c>
      <c r="B17" s="344" t="s">
        <v>460</v>
      </c>
      <c r="C17" s="345">
        <v>1152</v>
      </c>
      <c r="D17" s="346"/>
      <c r="E17" s="346"/>
      <c r="F17" s="370">
        <f t="shared" si="0"/>
        <v>329.5</v>
      </c>
      <c r="G17" s="371"/>
      <c r="H17" s="371">
        <v>1</v>
      </c>
      <c r="I17" s="371">
        <v>318</v>
      </c>
      <c r="J17" s="371">
        <v>10.5</v>
      </c>
      <c r="K17" s="347"/>
      <c r="L17" s="340"/>
      <c r="N17" s="340"/>
      <c r="O17" s="243"/>
    </row>
    <row r="18" spans="1:15" ht="18.75">
      <c r="A18" s="348"/>
      <c r="B18" s="323" t="s">
        <v>491</v>
      </c>
      <c r="C18" s="330"/>
      <c r="D18" s="349"/>
      <c r="E18" s="349"/>
      <c r="F18" s="372"/>
      <c r="G18" s="373"/>
      <c r="H18" s="373"/>
      <c r="I18" s="373"/>
      <c r="J18" s="373"/>
      <c r="K18" s="331"/>
      <c r="L18" s="340"/>
    </row>
    <row r="19" spans="1:15" ht="22.5" customHeight="1">
      <c r="A19" s="530" t="s">
        <v>119</v>
      </c>
      <c r="B19" s="531"/>
      <c r="C19" s="236"/>
      <c r="D19" s="315"/>
      <c r="E19" s="315"/>
      <c r="F19" s="194"/>
      <c r="G19" s="374"/>
      <c r="H19" s="374"/>
      <c r="I19" s="374"/>
      <c r="J19" s="374"/>
      <c r="K19" s="350"/>
      <c r="L19" s="340"/>
    </row>
    <row r="20" spans="1:15" ht="20.25" customHeight="1">
      <c r="A20" s="351">
        <v>7</v>
      </c>
      <c r="B20" s="352" t="s">
        <v>469</v>
      </c>
      <c r="C20" s="235">
        <v>1051</v>
      </c>
      <c r="D20" s="245"/>
      <c r="E20" s="245"/>
      <c r="F20" s="194">
        <f t="shared" si="0"/>
        <v>7187.7000000000007</v>
      </c>
      <c r="G20" s="369">
        <f>SUM(G21:G56)</f>
        <v>1912.1000000000001</v>
      </c>
      <c r="H20" s="369">
        <f t="shared" ref="H20:J20" si="3">SUM(H21:H56)</f>
        <v>1202.6000000000004</v>
      </c>
      <c r="I20" s="369">
        <f t="shared" si="3"/>
        <v>1772</v>
      </c>
      <c r="J20" s="369">
        <f t="shared" si="3"/>
        <v>2301.0000000000005</v>
      </c>
      <c r="K20" s="353"/>
    </row>
    <row r="21" spans="1:15" ht="18.75">
      <c r="A21" s="337"/>
      <c r="B21" s="318" t="s">
        <v>551</v>
      </c>
      <c r="C21" s="313"/>
      <c r="D21" s="249"/>
      <c r="E21" s="313"/>
      <c r="F21" s="193">
        <f t="shared" si="0"/>
        <v>71</v>
      </c>
      <c r="G21" s="368">
        <v>12.1</v>
      </c>
      <c r="H21" s="368">
        <v>34.799999999999997</v>
      </c>
      <c r="I21" s="368">
        <v>12.1</v>
      </c>
      <c r="J21" s="368">
        <v>12</v>
      </c>
      <c r="K21" s="353"/>
      <c r="L21" s="243"/>
    </row>
    <row r="22" spans="1:15" ht="18.75">
      <c r="A22" s="337"/>
      <c r="B22" s="318" t="s">
        <v>552</v>
      </c>
      <c r="C22" s="313"/>
      <c r="D22" s="249"/>
      <c r="E22" s="313"/>
      <c r="F22" s="193">
        <f t="shared" si="0"/>
        <v>804.90000000000009</v>
      </c>
      <c r="G22" s="368">
        <v>94.6</v>
      </c>
      <c r="H22" s="368">
        <v>342.8</v>
      </c>
      <c r="I22" s="368">
        <v>170.3</v>
      </c>
      <c r="J22" s="368">
        <f>85.4+111.8</f>
        <v>197.2</v>
      </c>
      <c r="K22" s="353"/>
    </row>
    <row r="23" spans="1:15" ht="18.75">
      <c r="A23" s="337"/>
      <c r="B23" s="8" t="s">
        <v>553</v>
      </c>
      <c r="C23" s="313"/>
      <c r="D23" s="249"/>
      <c r="E23" s="313"/>
      <c r="F23" s="193">
        <f t="shared" si="0"/>
        <v>26.8</v>
      </c>
      <c r="G23" s="368">
        <v>12.8</v>
      </c>
      <c r="H23" s="368">
        <v>1.4</v>
      </c>
      <c r="I23" s="368">
        <v>6.6</v>
      </c>
      <c r="J23" s="368">
        <v>6</v>
      </c>
      <c r="K23" s="353"/>
    </row>
    <row r="24" spans="1:15" ht="18.75">
      <c r="A24" s="337"/>
      <c r="B24" s="8" t="s">
        <v>550</v>
      </c>
      <c r="C24" s="313"/>
      <c r="D24" s="249"/>
      <c r="E24" s="313"/>
      <c r="F24" s="193">
        <f t="shared" si="0"/>
        <v>495.5</v>
      </c>
      <c r="G24" s="368">
        <v>4.9000000000000004</v>
      </c>
      <c r="H24" s="368">
        <v>143.5</v>
      </c>
      <c r="I24" s="368">
        <v>41.8</v>
      </c>
      <c r="J24" s="368">
        <f>278.7+26.6</f>
        <v>305.3</v>
      </c>
      <c r="K24" s="353"/>
    </row>
    <row r="25" spans="1:15" ht="18.75">
      <c r="A25" s="337"/>
      <c r="B25" s="354" t="s">
        <v>554</v>
      </c>
      <c r="C25" s="313"/>
      <c r="D25" s="313"/>
      <c r="E25" s="313"/>
      <c r="F25" s="193">
        <f t="shared" si="0"/>
        <v>2.1</v>
      </c>
      <c r="G25" s="368"/>
      <c r="H25" s="368">
        <v>2.1</v>
      </c>
      <c r="I25" s="368"/>
      <c r="J25" s="368"/>
      <c r="K25" s="353"/>
    </row>
    <row r="26" spans="1:15" ht="18.75">
      <c r="A26" s="337"/>
      <c r="B26" s="8" t="s">
        <v>580</v>
      </c>
      <c r="C26" s="313"/>
      <c r="D26" s="313"/>
      <c r="E26" s="313"/>
      <c r="F26" s="193">
        <f t="shared" si="0"/>
        <v>32.299999999999997</v>
      </c>
      <c r="G26" s="368">
        <v>8.1999999999999993</v>
      </c>
      <c r="H26" s="368">
        <v>12.4</v>
      </c>
      <c r="I26" s="368">
        <v>2.2000000000000002</v>
      </c>
      <c r="J26" s="368">
        <v>9.5</v>
      </c>
      <c r="K26" s="353"/>
    </row>
    <row r="27" spans="1:15" ht="18.75">
      <c r="A27" s="337"/>
      <c r="B27" s="8" t="s">
        <v>555</v>
      </c>
      <c r="C27" s="313"/>
      <c r="D27" s="249"/>
      <c r="E27" s="313"/>
      <c r="F27" s="193">
        <f t="shared" si="0"/>
        <v>16</v>
      </c>
      <c r="G27" s="368">
        <v>4</v>
      </c>
      <c r="H27" s="368">
        <v>4</v>
      </c>
      <c r="I27" s="368">
        <v>4</v>
      </c>
      <c r="J27" s="368">
        <v>4</v>
      </c>
      <c r="K27" s="353"/>
    </row>
    <row r="28" spans="1:15" ht="18.75">
      <c r="A28" s="337"/>
      <c r="B28" s="8" t="s">
        <v>557</v>
      </c>
      <c r="C28" s="313"/>
      <c r="D28" s="248"/>
      <c r="E28" s="313"/>
      <c r="F28" s="193">
        <f t="shared" si="0"/>
        <v>2</v>
      </c>
      <c r="G28" s="368">
        <v>0.5</v>
      </c>
      <c r="H28" s="368">
        <v>0.5</v>
      </c>
      <c r="I28" s="368">
        <v>0.5</v>
      </c>
      <c r="J28" s="368">
        <v>0.5</v>
      </c>
      <c r="K28" s="353"/>
    </row>
    <row r="29" spans="1:15" ht="18.75">
      <c r="A29" s="337"/>
      <c r="B29" s="8" t="s">
        <v>548</v>
      </c>
      <c r="C29" s="313"/>
      <c r="D29" s="249"/>
      <c r="E29" s="313"/>
      <c r="F29" s="193">
        <f t="shared" si="0"/>
        <v>3.4000000000000004</v>
      </c>
      <c r="G29" s="368">
        <v>0.8</v>
      </c>
      <c r="H29" s="368">
        <v>0.9</v>
      </c>
      <c r="I29" s="368">
        <v>0.9</v>
      </c>
      <c r="J29" s="368">
        <v>0.8</v>
      </c>
      <c r="K29" s="353"/>
    </row>
    <row r="30" spans="1:15" ht="37.5">
      <c r="A30" s="337"/>
      <c r="B30" s="8" t="s">
        <v>585</v>
      </c>
      <c r="C30" s="313"/>
      <c r="D30" s="313"/>
      <c r="E30" s="313"/>
      <c r="F30" s="193">
        <f t="shared" si="0"/>
        <v>120.10000000000001</v>
      </c>
      <c r="G30" s="368">
        <v>34.299999999999997</v>
      </c>
      <c r="H30" s="368">
        <v>27.2</v>
      </c>
      <c r="I30" s="368">
        <v>27.9</v>
      </c>
      <c r="J30" s="368">
        <v>30.7</v>
      </c>
      <c r="K30" s="353"/>
    </row>
    <row r="31" spans="1:15" ht="18.75">
      <c r="A31" s="337"/>
      <c r="B31" s="354" t="s">
        <v>558</v>
      </c>
      <c r="C31" s="313"/>
      <c r="D31" s="313"/>
      <c r="E31" s="313"/>
      <c r="F31" s="193">
        <f t="shared" si="0"/>
        <v>15.600000000000001</v>
      </c>
      <c r="G31" s="368">
        <v>13.3</v>
      </c>
      <c r="H31" s="368">
        <v>0</v>
      </c>
      <c r="I31" s="368">
        <v>0.5</v>
      </c>
      <c r="J31" s="368">
        <v>1.8</v>
      </c>
      <c r="K31" s="353"/>
    </row>
    <row r="32" spans="1:15" ht="35.25" customHeight="1">
      <c r="A32" s="337"/>
      <c r="B32" s="8" t="s">
        <v>586</v>
      </c>
      <c r="C32" s="313"/>
      <c r="D32" s="313"/>
      <c r="E32" s="313"/>
      <c r="F32" s="193">
        <f t="shared" si="0"/>
        <v>28.2</v>
      </c>
      <c r="G32" s="368">
        <v>5.6</v>
      </c>
      <c r="H32" s="368">
        <v>7.1</v>
      </c>
      <c r="I32" s="368">
        <v>5.7</v>
      </c>
      <c r="J32" s="368">
        <v>9.8000000000000007</v>
      </c>
      <c r="K32" s="353"/>
    </row>
    <row r="33" spans="1:11" ht="18.75">
      <c r="A33" s="337"/>
      <c r="B33" s="8" t="s">
        <v>527</v>
      </c>
      <c r="C33" s="313"/>
      <c r="D33" s="313"/>
      <c r="E33" s="313"/>
      <c r="F33" s="193">
        <f t="shared" si="0"/>
        <v>2.4</v>
      </c>
      <c r="G33" s="368">
        <v>0.6</v>
      </c>
      <c r="H33" s="368">
        <v>0.8</v>
      </c>
      <c r="I33" s="368">
        <v>0.5</v>
      </c>
      <c r="J33" s="368">
        <v>0.5</v>
      </c>
      <c r="K33" s="353"/>
    </row>
    <row r="34" spans="1:11" ht="18.75">
      <c r="A34" s="337"/>
      <c r="B34" s="8" t="s">
        <v>559</v>
      </c>
      <c r="C34" s="313"/>
      <c r="D34" s="313"/>
      <c r="E34" s="313"/>
      <c r="F34" s="193">
        <f t="shared" si="0"/>
        <v>87.9</v>
      </c>
      <c r="G34" s="368">
        <v>8.4</v>
      </c>
      <c r="H34" s="368">
        <v>11.7</v>
      </c>
      <c r="I34" s="368">
        <v>29.4</v>
      </c>
      <c r="J34" s="368">
        <f>18.8+12.6+7</f>
        <v>38.4</v>
      </c>
      <c r="K34" s="353"/>
    </row>
    <row r="35" spans="1:11" ht="33.6" customHeight="1">
      <c r="A35" s="337"/>
      <c r="B35" s="8" t="s">
        <v>654</v>
      </c>
      <c r="C35" s="313"/>
      <c r="D35" s="249"/>
      <c r="E35" s="249"/>
      <c r="F35" s="193">
        <f t="shared" si="0"/>
        <v>245.39999999999998</v>
      </c>
      <c r="G35" s="368">
        <v>78</v>
      </c>
      <c r="H35" s="368">
        <v>57.7</v>
      </c>
      <c r="I35" s="368">
        <f>102.5-2.5</f>
        <v>100</v>
      </c>
      <c r="J35" s="368">
        <v>9.6999999999999993</v>
      </c>
      <c r="K35" s="353"/>
    </row>
    <row r="36" spans="1:11" ht="16.5" customHeight="1">
      <c r="A36" s="337"/>
      <c r="B36" s="8" t="s">
        <v>560</v>
      </c>
      <c r="C36" s="313"/>
      <c r="D36" s="313"/>
      <c r="E36" s="313"/>
      <c r="F36" s="193">
        <f t="shared" si="0"/>
        <v>2.9000000000000004</v>
      </c>
      <c r="G36" s="368">
        <v>2.2000000000000002</v>
      </c>
      <c r="H36" s="368">
        <v>0.7</v>
      </c>
      <c r="I36" s="368"/>
      <c r="J36" s="368"/>
      <c r="K36" s="353"/>
    </row>
    <row r="37" spans="1:11" ht="17.25" customHeight="1">
      <c r="A37" s="337"/>
      <c r="B37" s="8" t="s">
        <v>564</v>
      </c>
      <c r="C37" s="313"/>
      <c r="D37" s="249"/>
      <c r="E37" s="313"/>
      <c r="F37" s="193">
        <f t="shared" si="0"/>
        <v>3.9000000000000004</v>
      </c>
      <c r="G37" s="368">
        <v>2.1</v>
      </c>
      <c r="H37" s="368">
        <v>0.6</v>
      </c>
      <c r="I37" s="368">
        <v>0.6</v>
      </c>
      <c r="J37" s="368">
        <v>0.6</v>
      </c>
      <c r="K37" s="353"/>
    </row>
    <row r="38" spans="1:11" ht="17.25" customHeight="1">
      <c r="A38" s="337"/>
      <c r="B38" s="8" t="s">
        <v>565</v>
      </c>
      <c r="C38" s="313"/>
      <c r="D38" s="313"/>
      <c r="E38" s="313"/>
      <c r="F38" s="193">
        <f t="shared" si="0"/>
        <v>15</v>
      </c>
      <c r="G38" s="368"/>
      <c r="H38" s="368">
        <v>15</v>
      </c>
      <c r="I38" s="368"/>
      <c r="J38" s="368"/>
      <c r="K38" s="353"/>
    </row>
    <row r="39" spans="1:11" ht="17.25" customHeight="1">
      <c r="A39" s="337"/>
      <c r="B39" s="8" t="s">
        <v>566</v>
      </c>
      <c r="C39" s="313"/>
      <c r="D39" s="249"/>
      <c r="E39" s="313"/>
      <c r="F39" s="193">
        <f t="shared" si="0"/>
        <v>3.3</v>
      </c>
      <c r="G39" s="368">
        <v>3.3</v>
      </c>
      <c r="H39" s="368"/>
      <c r="I39" s="368"/>
      <c r="J39" s="368"/>
      <c r="K39" s="353"/>
    </row>
    <row r="40" spans="1:11" ht="24.75" customHeight="1">
      <c r="A40" s="337"/>
      <c r="B40" s="8" t="s">
        <v>470</v>
      </c>
      <c r="C40" s="313"/>
      <c r="D40" s="249"/>
      <c r="E40" s="313"/>
      <c r="F40" s="193">
        <f t="shared" si="0"/>
        <v>2804.6000000000004</v>
      </c>
      <c r="G40" s="368">
        <v>1193</v>
      </c>
      <c r="H40" s="368">
        <v>166.3</v>
      </c>
      <c r="I40" s="368">
        <v>123.4</v>
      </c>
      <c r="J40" s="368">
        <v>1321.9</v>
      </c>
      <c r="K40" s="353"/>
    </row>
    <row r="41" spans="1:11" ht="18.75" customHeight="1">
      <c r="A41" s="337"/>
      <c r="B41" s="8" t="s">
        <v>471</v>
      </c>
      <c r="C41" s="313"/>
      <c r="D41" s="248"/>
      <c r="E41" s="249"/>
      <c r="F41" s="193">
        <f t="shared" si="0"/>
        <v>290.7</v>
      </c>
      <c r="G41" s="368">
        <v>67.900000000000006</v>
      </c>
      <c r="H41" s="368">
        <v>74.8</v>
      </c>
      <c r="I41" s="368">
        <v>68.2</v>
      </c>
      <c r="J41" s="368">
        <v>79.8</v>
      </c>
      <c r="K41" s="353"/>
    </row>
    <row r="42" spans="1:11" ht="19.5" customHeight="1">
      <c r="A42" s="337"/>
      <c r="B42" s="8" t="s">
        <v>472</v>
      </c>
      <c r="C42" s="313"/>
      <c r="D42" s="248"/>
      <c r="E42" s="313"/>
      <c r="F42" s="193">
        <f t="shared" si="0"/>
        <v>1050.4000000000001</v>
      </c>
      <c r="G42" s="368">
        <v>306.3</v>
      </c>
      <c r="H42" s="368">
        <v>247.9</v>
      </c>
      <c r="I42" s="368">
        <v>283.8</v>
      </c>
      <c r="J42" s="368">
        <v>212.4</v>
      </c>
      <c r="K42" s="353"/>
    </row>
    <row r="43" spans="1:11" ht="18.75">
      <c r="A43" s="337"/>
      <c r="B43" s="8" t="s">
        <v>528</v>
      </c>
      <c r="C43" s="313"/>
      <c r="D43" s="249"/>
      <c r="E43" s="313"/>
      <c r="F43" s="193">
        <f t="shared" si="0"/>
        <v>98.2</v>
      </c>
      <c r="G43" s="368">
        <v>19.399999999999999</v>
      </c>
      <c r="H43" s="368">
        <v>30.4</v>
      </c>
      <c r="I43" s="368">
        <v>29.1</v>
      </c>
      <c r="J43" s="368">
        <v>19.3</v>
      </c>
      <c r="K43" s="353"/>
    </row>
    <row r="44" spans="1:11" ht="18.75">
      <c r="A44" s="337"/>
      <c r="B44" s="8" t="s">
        <v>567</v>
      </c>
      <c r="C44" s="313"/>
      <c r="D44" s="249"/>
      <c r="E44" s="313"/>
      <c r="F44" s="193">
        <f t="shared" si="0"/>
        <v>11.4</v>
      </c>
      <c r="G44" s="368"/>
      <c r="H44" s="368">
        <v>11.4</v>
      </c>
      <c r="I44" s="368"/>
      <c r="J44" s="368"/>
      <c r="K44" s="353"/>
    </row>
    <row r="45" spans="1:11" ht="18" customHeight="1">
      <c r="A45" s="337"/>
      <c r="B45" s="355" t="s">
        <v>581</v>
      </c>
      <c r="C45" s="313"/>
      <c r="D45" s="313"/>
      <c r="E45" s="313"/>
      <c r="F45" s="193">
        <f t="shared" si="0"/>
        <v>9.8000000000000007</v>
      </c>
      <c r="G45" s="368"/>
      <c r="H45" s="368"/>
      <c r="I45" s="368">
        <v>9.8000000000000007</v>
      </c>
      <c r="J45" s="368"/>
      <c r="K45" s="353"/>
    </row>
    <row r="46" spans="1:11" ht="33" customHeight="1">
      <c r="A46" s="337"/>
      <c r="B46" s="356" t="s">
        <v>582</v>
      </c>
      <c r="C46" s="313"/>
      <c r="D46" s="313"/>
      <c r="E46" s="313"/>
      <c r="F46" s="193">
        <f t="shared" si="0"/>
        <v>361.79999999999995</v>
      </c>
      <c r="G46" s="368"/>
      <c r="H46" s="368"/>
      <c r="I46" s="368">
        <v>361.4</v>
      </c>
      <c r="J46" s="368">
        <v>0.4</v>
      </c>
      <c r="K46" s="353"/>
    </row>
    <row r="47" spans="1:11" ht="15.75" customHeight="1">
      <c r="A47" s="337"/>
      <c r="B47" s="8" t="s">
        <v>598</v>
      </c>
      <c r="C47" s="313"/>
      <c r="D47" s="249"/>
      <c r="E47" s="313"/>
      <c r="F47" s="193">
        <f t="shared" si="0"/>
        <v>19</v>
      </c>
      <c r="G47" s="368"/>
      <c r="H47" s="368"/>
      <c r="I47" s="368">
        <v>19</v>
      </c>
      <c r="J47" s="368"/>
      <c r="K47" s="353"/>
    </row>
    <row r="48" spans="1:11" ht="15.75" customHeight="1">
      <c r="A48" s="337"/>
      <c r="B48" s="355" t="s">
        <v>599</v>
      </c>
      <c r="C48" s="313"/>
      <c r="D48" s="249"/>
      <c r="E48" s="313"/>
      <c r="F48" s="193">
        <f t="shared" si="0"/>
        <v>6.6</v>
      </c>
      <c r="G48" s="368"/>
      <c r="H48" s="368"/>
      <c r="I48" s="368">
        <v>6.6</v>
      </c>
      <c r="J48" s="368"/>
      <c r="K48" s="353"/>
    </row>
    <row r="49" spans="1:11" ht="15.75" customHeight="1">
      <c r="A49" s="337"/>
      <c r="B49" s="355" t="s">
        <v>600</v>
      </c>
      <c r="C49" s="313"/>
      <c r="D49" s="313"/>
      <c r="E49" s="313"/>
      <c r="F49" s="193">
        <f t="shared" si="0"/>
        <v>0.3</v>
      </c>
      <c r="G49" s="368"/>
      <c r="H49" s="368"/>
      <c r="I49" s="368">
        <v>0.3</v>
      </c>
      <c r="J49" s="368"/>
      <c r="K49" s="353"/>
    </row>
    <row r="50" spans="1:11" ht="15.75" customHeight="1">
      <c r="A50" s="337"/>
      <c r="B50" s="355" t="s">
        <v>601</v>
      </c>
      <c r="C50" s="313"/>
      <c r="D50" s="313"/>
      <c r="E50" s="313"/>
      <c r="F50" s="193">
        <f t="shared" si="0"/>
        <v>4.4000000000000004</v>
      </c>
      <c r="G50" s="368"/>
      <c r="H50" s="368"/>
      <c r="I50" s="368">
        <v>4.4000000000000004</v>
      </c>
      <c r="J50" s="368"/>
      <c r="K50" s="353"/>
    </row>
    <row r="51" spans="1:11" ht="15.75" customHeight="1">
      <c r="A51" s="337"/>
      <c r="B51" s="355" t="s">
        <v>602</v>
      </c>
      <c r="C51" s="313"/>
      <c r="D51" s="313"/>
      <c r="E51" s="313"/>
      <c r="F51" s="193">
        <f t="shared" si="0"/>
        <v>145</v>
      </c>
      <c r="G51" s="368"/>
      <c r="H51" s="368"/>
      <c r="I51" s="368">
        <f>189.8-44.8</f>
        <v>145</v>
      </c>
      <c r="J51" s="368"/>
      <c r="K51" s="353"/>
    </row>
    <row r="52" spans="1:11" ht="18.75">
      <c r="A52" s="337"/>
      <c r="B52" s="8" t="s">
        <v>603</v>
      </c>
      <c r="C52" s="313"/>
      <c r="D52" s="313"/>
      <c r="E52" s="313"/>
      <c r="F52" s="193">
        <f t="shared" si="0"/>
        <v>8.7000000000000011</v>
      </c>
      <c r="G52" s="368"/>
      <c r="H52" s="368"/>
      <c r="I52" s="368"/>
      <c r="J52" s="368">
        <f>9.3-0.6</f>
        <v>8.7000000000000011</v>
      </c>
      <c r="K52" s="353"/>
    </row>
    <row r="53" spans="1:11" ht="18.75">
      <c r="A53" s="337"/>
      <c r="B53" s="8" t="s">
        <v>680</v>
      </c>
      <c r="C53" s="313"/>
      <c r="D53" s="313"/>
      <c r="E53" s="313"/>
      <c r="F53" s="193">
        <f t="shared" si="0"/>
        <v>326</v>
      </c>
      <c r="G53" s="368"/>
      <c r="H53" s="368"/>
      <c r="I53" s="368">
        <v>315.5</v>
      </c>
      <c r="J53" s="368">
        <v>10.5</v>
      </c>
      <c r="K53" s="353"/>
    </row>
    <row r="54" spans="1:11" ht="18.75">
      <c r="A54" s="337"/>
      <c r="B54" s="8" t="s">
        <v>678</v>
      </c>
      <c r="C54" s="313"/>
      <c r="D54" s="313"/>
      <c r="E54" s="313"/>
      <c r="F54" s="193">
        <f t="shared" si="0"/>
        <v>3.5</v>
      </c>
      <c r="G54" s="368"/>
      <c r="H54" s="368">
        <v>1</v>
      </c>
      <c r="I54" s="368">
        <v>2.5</v>
      </c>
      <c r="J54" s="368"/>
      <c r="K54" s="353"/>
    </row>
    <row r="55" spans="1:11" ht="18.75">
      <c r="A55" s="382"/>
      <c r="B55" s="8" t="s">
        <v>750</v>
      </c>
      <c r="C55" s="381"/>
      <c r="D55" s="381"/>
      <c r="E55" s="381"/>
      <c r="F55" s="193">
        <f t="shared" si="0"/>
        <v>63.099999999999994</v>
      </c>
      <c r="G55" s="368">
        <v>39.799999999999997</v>
      </c>
      <c r="H55" s="368">
        <v>7</v>
      </c>
      <c r="I55" s="368"/>
      <c r="J55" s="368">
        <v>16.3</v>
      </c>
      <c r="K55" s="353"/>
    </row>
    <row r="56" spans="1:11" ht="18.75">
      <c r="A56" s="382"/>
      <c r="B56" s="8" t="s">
        <v>751</v>
      </c>
      <c r="C56" s="381"/>
      <c r="D56" s="381"/>
      <c r="E56" s="381"/>
      <c r="F56" s="193"/>
      <c r="G56" s="368"/>
      <c r="H56" s="368">
        <v>0.6</v>
      </c>
      <c r="I56" s="368"/>
      <c r="J56" s="368">
        <v>4.9000000000000004</v>
      </c>
      <c r="K56" s="353"/>
    </row>
    <row r="57" spans="1:11" ht="26.25" customHeight="1">
      <c r="A57" s="530" t="s">
        <v>76</v>
      </c>
      <c r="B57" s="531"/>
      <c r="C57" s="235">
        <v>1080</v>
      </c>
      <c r="D57" s="245"/>
      <c r="E57" s="245"/>
      <c r="F57" s="375"/>
      <c r="G57" s="375"/>
      <c r="H57" s="375"/>
      <c r="I57" s="375"/>
      <c r="J57" s="375"/>
      <c r="K57" s="357"/>
    </row>
    <row r="58" spans="1:11" ht="25.5" customHeight="1">
      <c r="A58" s="324">
        <v>1</v>
      </c>
      <c r="B58" s="247" t="s">
        <v>174</v>
      </c>
      <c r="C58" s="235">
        <v>1086</v>
      </c>
      <c r="D58" s="245"/>
      <c r="E58" s="245"/>
      <c r="F58" s="194">
        <f>SUM(G58:J58)</f>
        <v>13829</v>
      </c>
      <c r="G58" s="369">
        <f>SUM(G59:G81)</f>
        <v>3054</v>
      </c>
      <c r="H58" s="369">
        <f>SUM(H59:H81)</f>
        <v>3572.099999999999</v>
      </c>
      <c r="I58" s="369">
        <f>SUM(I59:I81)</f>
        <v>2932.7</v>
      </c>
      <c r="J58" s="369">
        <f>SUM(J59:J81)</f>
        <v>4270.2</v>
      </c>
      <c r="K58" s="357"/>
    </row>
    <row r="59" spans="1:11" ht="18.75">
      <c r="A59" s="358"/>
      <c r="B59" s="8" t="s">
        <v>569</v>
      </c>
      <c r="C59" s="313"/>
      <c r="D59" s="313"/>
      <c r="E59" s="313"/>
      <c r="F59" s="193">
        <f t="shared" ref="F59:F66" si="4">SUM(G59:J59)</f>
        <v>209.8</v>
      </c>
      <c r="G59" s="368">
        <v>53.3</v>
      </c>
      <c r="H59" s="368">
        <v>55.2</v>
      </c>
      <c r="I59" s="368">
        <v>46</v>
      </c>
      <c r="J59" s="368">
        <v>55.3</v>
      </c>
      <c r="K59" s="353"/>
    </row>
    <row r="60" spans="1:11" ht="18.75">
      <c r="A60" s="358"/>
      <c r="B60" s="8" t="s">
        <v>570</v>
      </c>
      <c r="C60" s="313"/>
      <c r="D60" s="313"/>
      <c r="E60" s="313"/>
      <c r="F60" s="193">
        <f t="shared" si="4"/>
        <v>48.2</v>
      </c>
      <c r="G60" s="368">
        <v>11.7</v>
      </c>
      <c r="H60" s="368">
        <v>11.6</v>
      </c>
      <c r="I60" s="368">
        <v>12.6</v>
      </c>
      <c r="J60" s="368">
        <v>12.3</v>
      </c>
      <c r="K60" s="353"/>
    </row>
    <row r="61" spans="1:11" ht="18.75">
      <c r="A61" s="358"/>
      <c r="B61" s="8" t="s">
        <v>658</v>
      </c>
      <c r="C61" s="313"/>
      <c r="D61" s="313"/>
      <c r="E61" s="313"/>
      <c r="F61" s="193">
        <f t="shared" si="4"/>
        <v>6242.3</v>
      </c>
      <c r="G61" s="368">
        <v>1564.9</v>
      </c>
      <c r="H61" s="368">
        <v>1637.1</v>
      </c>
      <c r="I61" s="368">
        <v>1356.6</v>
      </c>
      <c r="J61" s="368">
        <v>1683.7</v>
      </c>
      <c r="K61" s="353"/>
    </row>
    <row r="62" spans="1:11" ht="18.75">
      <c r="A62" s="358"/>
      <c r="B62" s="8" t="s">
        <v>659</v>
      </c>
      <c r="C62" s="313"/>
      <c r="D62" s="313"/>
      <c r="E62" s="313"/>
      <c r="F62" s="193">
        <f t="shared" si="4"/>
        <v>1340.6</v>
      </c>
      <c r="G62" s="368">
        <v>341</v>
      </c>
      <c r="H62" s="368">
        <v>347.8</v>
      </c>
      <c r="I62" s="368">
        <v>287.3</v>
      </c>
      <c r="J62" s="368">
        <v>364.5</v>
      </c>
      <c r="K62" s="353"/>
    </row>
    <row r="63" spans="1:11" ht="18.75">
      <c r="A63" s="358"/>
      <c r="B63" s="8" t="s">
        <v>571</v>
      </c>
      <c r="C63" s="313"/>
      <c r="D63" s="248"/>
      <c r="E63" s="313"/>
      <c r="F63" s="193">
        <f t="shared" si="4"/>
        <v>554.29999999999995</v>
      </c>
      <c r="G63" s="368">
        <v>93.8</v>
      </c>
      <c r="H63" s="368">
        <v>184.3</v>
      </c>
      <c r="I63" s="368">
        <v>110.7</v>
      </c>
      <c r="J63" s="368">
        <v>165.5</v>
      </c>
      <c r="K63" s="353"/>
    </row>
    <row r="64" spans="1:11" ht="18.75">
      <c r="A64" s="358"/>
      <c r="B64" s="8" t="s">
        <v>573</v>
      </c>
      <c r="C64" s="313"/>
      <c r="D64" s="313"/>
      <c r="E64" s="313"/>
      <c r="F64" s="193">
        <f t="shared" si="4"/>
        <v>6.1999999999999993</v>
      </c>
      <c r="G64" s="368">
        <v>2.5</v>
      </c>
      <c r="H64" s="368">
        <v>1.8</v>
      </c>
      <c r="I64" s="368"/>
      <c r="J64" s="368">
        <v>1.9</v>
      </c>
      <c r="K64" s="353"/>
    </row>
    <row r="65" spans="1:11" ht="18.75">
      <c r="A65" s="358"/>
      <c r="B65" s="8" t="s">
        <v>552</v>
      </c>
      <c r="C65" s="381"/>
      <c r="D65" s="381"/>
      <c r="E65" s="381"/>
      <c r="F65" s="193">
        <f t="shared" si="4"/>
        <v>90.8</v>
      </c>
      <c r="G65" s="368">
        <v>90.8</v>
      </c>
      <c r="H65" s="368"/>
      <c r="I65" s="368"/>
      <c r="J65" s="368"/>
      <c r="K65" s="353"/>
    </row>
    <row r="66" spans="1:11" ht="18.75">
      <c r="A66" s="358"/>
      <c r="B66" s="354" t="s">
        <v>556</v>
      </c>
      <c r="C66" s="313"/>
      <c r="D66" s="249"/>
      <c r="E66" s="313"/>
      <c r="F66" s="193">
        <f t="shared" si="4"/>
        <v>142.30000000000001</v>
      </c>
      <c r="G66" s="368">
        <v>75.2</v>
      </c>
      <c r="H66" s="368">
        <f>28.7</f>
        <v>28.7</v>
      </c>
      <c r="I66" s="368">
        <v>38.4</v>
      </c>
      <c r="J66" s="368">
        <f>28.2-28.2</f>
        <v>0</v>
      </c>
      <c r="K66" s="353"/>
    </row>
    <row r="67" spans="1:11" ht="18.75">
      <c r="A67" s="358"/>
      <c r="B67" s="8" t="s">
        <v>574</v>
      </c>
      <c r="C67" s="313"/>
      <c r="D67" s="313"/>
      <c r="E67" s="313"/>
      <c r="F67" s="193">
        <f t="shared" ref="F67:F81" si="5">SUM(G67:J67)</f>
        <v>10.200000000000001</v>
      </c>
      <c r="G67" s="368">
        <v>2.8</v>
      </c>
      <c r="H67" s="368">
        <v>3.7</v>
      </c>
      <c r="I67" s="368">
        <v>1.8</v>
      </c>
      <c r="J67" s="368">
        <v>1.9</v>
      </c>
      <c r="K67" s="353" t="s">
        <v>408</v>
      </c>
    </row>
    <row r="68" spans="1:11" ht="18.75">
      <c r="A68" s="358"/>
      <c r="B68" s="8" t="s">
        <v>470</v>
      </c>
      <c r="C68" s="313"/>
      <c r="D68" s="313"/>
      <c r="E68" s="313"/>
      <c r="F68" s="193">
        <f t="shared" si="5"/>
        <v>80.3</v>
      </c>
      <c r="G68" s="368">
        <v>48</v>
      </c>
      <c r="H68" s="368">
        <v>1.1000000000000001</v>
      </c>
      <c r="I68" s="368">
        <v>4.4000000000000004</v>
      </c>
      <c r="J68" s="368">
        <v>26.8</v>
      </c>
      <c r="K68" s="353"/>
    </row>
    <row r="69" spans="1:11" ht="18.75">
      <c r="A69" s="358"/>
      <c r="B69" s="8" t="s">
        <v>471</v>
      </c>
      <c r="C69" s="313"/>
      <c r="D69" s="313"/>
      <c r="E69" s="313"/>
      <c r="F69" s="193">
        <f t="shared" si="5"/>
        <v>3.9000000000000004</v>
      </c>
      <c r="G69" s="368">
        <v>0.7</v>
      </c>
      <c r="H69" s="368">
        <v>0.9</v>
      </c>
      <c r="I69" s="368">
        <v>0.8</v>
      </c>
      <c r="J69" s="368">
        <v>1.5</v>
      </c>
      <c r="K69" s="353"/>
    </row>
    <row r="70" spans="1:11" ht="18.75">
      <c r="A70" s="358"/>
      <c r="B70" s="8" t="s">
        <v>472</v>
      </c>
      <c r="C70" s="313"/>
      <c r="D70" s="359"/>
      <c r="E70" s="359"/>
      <c r="F70" s="193">
        <f t="shared" si="5"/>
        <v>67.599999999999994</v>
      </c>
      <c r="G70" s="368">
        <v>9.1999999999999993</v>
      </c>
      <c r="H70" s="368">
        <v>21</v>
      </c>
      <c r="I70" s="368">
        <v>20.100000000000001</v>
      </c>
      <c r="J70" s="368">
        <v>17.3</v>
      </c>
      <c r="K70" s="353"/>
    </row>
    <row r="71" spans="1:11" ht="18.75">
      <c r="A71" s="358"/>
      <c r="B71" s="8" t="s">
        <v>575</v>
      </c>
      <c r="C71" s="313"/>
      <c r="D71" s="360"/>
      <c r="E71" s="359"/>
      <c r="F71" s="193">
        <f t="shared" si="5"/>
        <v>0.8</v>
      </c>
      <c r="G71" s="368"/>
      <c r="H71" s="368">
        <v>0.2</v>
      </c>
      <c r="I71" s="376">
        <v>0.4</v>
      </c>
      <c r="J71" s="376">
        <v>0.2</v>
      </c>
      <c r="K71" s="353"/>
    </row>
    <row r="72" spans="1:11" ht="18.75">
      <c r="A72" s="358"/>
      <c r="B72" s="318" t="s">
        <v>576</v>
      </c>
      <c r="C72" s="313"/>
      <c r="D72" s="248"/>
      <c r="E72" s="313"/>
      <c r="F72" s="193">
        <f t="shared" si="5"/>
        <v>1.2</v>
      </c>
      <c r="G72" s="368"/>
      <c r="H72" s="368">
        <v>1.2</v>
      </c>
      <c r="I72" s="368"/>
      <c r="J72" s="368"/>
      <c r="K72" s="353"/>
    </row>
    <row r="73" spans="1:11" ht="18.75">
      <c r="A73" s="358"/>
      <c r="B73" s="8" t="s">
        <v>577</v>
      </c>
      <c r="C73" s="313"/>
      <c r="D73" s="313"/>
      <c r="E73" s="249"/>
      <c r="F73" s="193">
        <f t="shared" si="5"/>
        <v>0.30000000000000004</v>
      </c>
      <c r="G73" s="368">
        <v>0.1</v>
      </c>
      <c r="H73" s="368">
        <v>0.2</v>
      </c>
      <c r="I73" s="368"/>
      <c r="J73" s="368"/>
      <c r="K73" s="353"/>
    </row>
    <row r="74" spans="1:11" ht="18.75">
      <c r="A74" s="358"/>
      <c r="B74" s="8" t="s">
        <v>568</v>
      </c>
      <c r="C74" s="313"/>
      <c r="D74" s="313"/>
      <c r="E74" s="313"/>
      <c r="F74" s="193">
        <f t="shared" si="5"/>
        <v>0.1</v>
      </c>
      <c r="G74" s="368"/>
      <c r="H74" s="368">
        <v>0.1</v>
      </c>
      <c r="I74" s="368"/>
      <c r="J74" s="368"/>
      <c r="K74" s="353"/>
    </row>
    <row r="75" spans="1:11" ht="37.5">
      <c r="A75" s="358"/>
      <c r="B75" s="8" t="s">
        <v>561</v>
      </c>
      <c r="C75" s="313"/>
      <c r="D75" s="313"/>
      <c r="E75" s="313"/>
      <c r="F75" s="193">
        <f t="shared" si="5"/>
        <v>137.9</v>
      </c>
      <c r="G75" s="368"/>
      <c r="H75" s="368"/>
      <c r="I75" s="368">
        <v>16.7</v>
      </c>
      <c r="J75" s="368">
        <v>121.2</v>
      </c>
      <c r="K75" s="353"/>
    </row>
    <row r="76" spans="1:11" ht="18.75">
      <c r="A76" s="358"/>
      <c r="B76" s="8" t="s">
        <v>562</v>
      </c>
      <c r="C76" s="313"/>
      <c r="D76" s="313"/>
      <c r="E76" s="313"/>
      <c r="F76" s="193">
        <f t="shared" si="5"/>
        <v>2065.6999999999998</v>
      </c>
      <c r="G76" s="368">
        <v>315.2</v>
      </c>
      <c r="H76" s="368">
        <v>602</v>
      </c>
      <c r="I76" s="368">
        <v>349.9</v>
      </c>
      <c r="J76" s="368">
        <v>798.6</v>
      </c>
      <c r="K76" s="353"/>
    </row>
    <row r="77" spans="1:11" ht="18.75">
      <c r="A77" s="358"/>
      <c r="B77" s="8" t="s">
        <v>563</v>
      </c>
      <c r="C77" s="313"/>
      <c r="D77" s="313"/>
      <c r="E77" s="313"/>
      <c r="F77" s="193">
        <f t="shared" si="5"/>
        <v>479.8</v>
      </c>
      <c r="G77" s="368">
        <v>63.2</v>
      </c>
      <c r="H77" s="368">
        <f>126-15.9</f>
        <v>110.1</v>
      </c>
      <c r="I77" s="368">
        <f>88</f>
        <v>88</v>
      </c>
      <c r="J77" s="368">
        <f>220.1-1.6</f>
        <v>218.5</v>
      </c>
      <c r="K77" s="353"/>
    </row>
    <row r="78" spans="1:11" ht="18.75">
      <c r="A78" s="358"/>
      <c r="B78" s="8" t="s">
        <v>572</v>
      </c>
      <c r="C78" s="313"/>
      <c r="D78" s="313"/>
      <c r="E78" s="313"/>
      <c r="F78" s="193">
        <f t="shared" si="5"/>
        <v>1862.1999999999998</v>
      </c>
      <c r="G78" s="368">
        <v>360</v>
      </c>
      <c r="H78" s="368">
        <f>547.3-1</f>
        <v>546.29999999999995</v>
      </c>
      <c r="I78" s="368">
        <v>574.79999999999995</v>
      </c>
      <c r="J78" s="368">
        <f>381.4-0.3</f>
        <v>381.09999999999997</v>
      </c>
      <c r="K78" s="353"/>
    </row>
    <row r="79" spans="1:11" ht="18.75">
      <c r="A79" s="358"/>
      <c r="B79" s="318" t="s">
        <v>537</v>
      </c>
      <c r="C79" s="313"/>
      <c r="D79" s="313"/>
      <c r="E79" s="313"/>
      <c r="F79" s="193">
        <f t="shared" si="5"/>
        <v>375.4</v>
      </c>
      <c r="G79" s="368"/>
      <c r="H79" s="368"/>
      <c r="I79" s="368"/>
      <c r="J79" s="368">
        <f>123.4+6+20+226</f>
        <v>375.4</v>
      </c>
      <c r="K79" s="353"/>
    </row>
    <row r="80" spans="1:11" ht="18.75">
      <c r="A80" s="358"/>
      <c r="B80" s="8" t="s">
        <v>578</v>
      </c>
      <c r="C80" s="313"/>
      <c r="D80" s="313"/>
      <c r="E80" s="313"/>
      <c r="F80" s="193">
        <f t="shared" si="5"/>
        <v>3.1999999999999997</v>
      </c>
      <c r="G80" s="368">
        <v>0.8</v>
      </c>
      <c r="H80" s="368">
        <v>0.6</v>
      </c>
      <c r="I80" s="368">
        <v>1.2</v>
      </c>
      <c r="J80" s="368">
        <v>0.6</v>
      </c>
      <c r="K80" s="353"/>
    </row>
    <row r="81" spans="1:11" ht="18.75">
      <c r="A81" s="358"/>
      <c r="B81" s="8" t="s">
        <v>579</v>
      </c>
      <c r="C81" s="313"/>
      <c r="D81" s="313"/>
      <c r="E81" s="313"/>
      <c r="F81" s="193">
        <f t="shared" si="5"/>
        <v>105.9</v>
      </c>
      <c r="G81" s="368">
        <v>20.8</v>
      </c>
      <c r="H81" s="368">
        <v>18.2</v>
      </c>
      <c r="I81" s="368">
        <v>23</v>
      </c>
      <c r="J81" s="368">
        <f>43.9</f>
        <v>43.9</v>
      </c>
      <c r="K81" s="353"/>
    </row>
    <row r="82" spans="1:11" ht="18.75">
      <c r="F82" s="20"/>
      <c r="G82" s="361"/>
      <c r="H82" s="361"/>
      <c r="I82" s="361"/>
      <c r="J82" s="362"/>
    </row>
    <row r="83" spans="1:11">
      <c r="I83" s="243"/>
    </row>
    <row r="84" spans="1:11" ht="18.75">
      <c r="B84" s="449" t="s">
        <v>745</v>
      </c>
      <c r="C84" s="181"/>
      <c r="D84" s="181"/>
      <c r="E84" s="181"/>
      <c r="F84" s="181"/>
      <c r="G84" s="181"/>
      <c r="H84" s="181"/>
      <c r="I84" s="534" t="s">
        <v>617</v>
      </c>
      <c r="J84" s="534"/>
    </row>
    <row r="85" spans="1:11" ht="18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</row>
  </sheetData>
  <mergeCells count="16">
    <mergeCell ref="A57:B57"/>
    <mergeCell ref="D3:D4"/>
    <mergeCell ref="E3:E4"/>
    <mergeCell ref="I84:J84"/>
    <mergeCell ref="A6:B6"/>
    <mergeCell ref="A8:B8"/>
    <mergeCell ref="A16:B16"/>
    <mergeCell ref="A19:B19"/>
    <mergeCell ref="A1:K1"/>
    <mergeCell ref="A2:B2"/>
    <mergeCell ref="A3:A4"/>
    <mergeCell ref="B3:B4"/>
    <mergeCell ref="C3:C4"/>
    <mergeCell ref="F3:F4"/>
    <mergeCell ref="G3:J3"/>
    <mergeCell ref="K3:K4"/>
  </mergeCells>
  <pageMargins left="0.23622047244094491" right="0.19685039370078741" top="0.19685039370078741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W164"/>
  <sheetViews>
    <sheetView view="pageBreakPreview" zoomScale="70" zoomScaleSheetLayoutView="70" workbookViewId="0">
      <pane ySplit="5" topLeftCell="A159" activePane="bottomLeft" state="frozen"/>
      <selection pane="bottomLeft" activeCell="O13" sqref="O13"/>
    </sheetView>
  </sheetViews>
  <sheetFormatPr defaultRowHeight="18"/>
  <cols>
    <col min="1" max="1" width="8.42578125" style="388" customWidth="1"/>
    <col min="2" max="2" width="67.42578125" style="388" customWidth="1"/>
    <col min="3" max="3" width="15.140625" style="388" customWidth="1"/>
    <col min="4" max="4" width="18.7109375" style="388" customWidth="1"/>
    <col min="5" max="5" width="14.140625" style="388" customWidth="1"/>
    <col min="6" max="6" width="13.5703125" style="388" customWidth="1"/>
    <col min="7" max="7" width="13.7109375" style="388" customWidth="1"/>
    <col min="8" max="8" width="14.7109375" style="388" customWidth="1"/>
    <col min="9" max="9" width="23.28515625" style="388" customWidth="1"/>
    <col min="10" max="11" width="24.5703125" style="748" customWidth="1"/>
    <col min="12" max="12" width="17.28515625" style="748" customWidth="1"/>
    <col min="13" max="13" width="16.7109375" style="748" customWidth="1"/>
    <col min="14" max="14" width="15.85546875" style="748" customWidth="1"/>
    <col min="15" max="15" width="14" style="748" bestFit="1" customWidth="1"/>
    <col min="16" max="16" width="13.140625" style="748" customWidth="1"/>
    <col min="17" max="23" width="9.140625" style="748"/>
    <col min="24" max="256" width="9.140625" style="388"/>
    <col min="257" max="257" width="5.5703125" style="388" customWidth="1"/>
    <col min="258" max="258" width="91.7109375" style="388" customWidth="1"/>
    <col min="259" max="259" width="9.140625" style="388"/>
    <col min="260" max="260" width="12.85546875" style="388" customWidth="1"/>
    <col min="261" max="261" width="9.5703125" style="388" customWidth="1"/>
    <col min="262" max="262" width="13.140625" style="388" customWidth="1"/>
    <col min="263" max="263" width="11.85546875" style="388" customWidth="1"/>
    <col min="264" max="264" width="14.7109375" style="388" customWidth="1"/>
    <col min="265" max="265" width="37.7109375" style="388" customWidth="1"/>
    <col min="266" max="512" width="9.140625" style="388"/>
    <col min="513" max="513" width="5.5703125" style="388" customWidth="1"/>
    <col min="514" max="514" width="91.7109375" style="388" customWidth="1"/>
    <col min="515" max="515" width="9.140625" style="388"/>
    <col min="516" max="516" width="12.85546875" style="388" customWidth="1"/>
    <col min="517" max="517" width="9.5703125" style="388" customWidth="1"/>
    <col min="518" max="518" width="13.140625" style="388" customWidth="1"/>
    <col min="519" max="519" width="11.85546875" style="388" customWidth="1"/>
    <col min="520" max="520" width="14.7109375" style="388" customWidth="1"/>
    <col min="521" max="521" width="37.7109375" style="388" customWidth="1"/>
    <col min="522" max="768" width="9.140625" style="388"/>
    <col min="769" max="769" width="5.5703125" style="388" customWidth="1"/>
    <col min="770" max="770" width="91.7109375" style="388" customWidth="1"/>
    <col min="771" max="771" width="9.140625" style="388"/>
    <col min="772" max="772" width="12.85546875" style="388" customWidth="1"/>
    <col min="773" max="773" width="9.5703125" style="388" customWidth="1"/>
    <col min="774" max="774" width="13.140625" style="388" customWidth="1"/>
    <col min="775" max="775" width="11.85546875" style="388" customWidth="1"/>
    <col min="776" max="776" width="14.7109375" style="388" customWidth="1"/>
    <col min="777" max="777" width="37.7109375" style="388" customWidth="1"/>
    <col min="778" max="1024" width="9.140625" style="388"/>
    <col min="1025" max="1025" width="5.5703125" style="388" customWidth="1"/>
    <col min="1026" max="1026" width="91.7109375" style="388" customWidth="1"/>
    <col min="1027" max="1027" width="9.140625" style="388"/>
    <col min="1028" max="1028" width="12.85546875" style="388" customWidth="1"/>
    <col min="1029" max="1029" width="9.5703125" style="388" customWidth="1"/>
    <col min="1030" max="1030" width="13.140625" style="388" customWidth="1"/>
    <col min="1031" max="1031" width="11.85546875" style="388" customWidth="1"/>
    <col min="1032" max="1032" width="14.7109375" style="388" customWidth="1"/>
    <col min="1033" max="1033" width="37.7109375" style="388" customWidth="1"/>
    <col min="1034" max="1280" width="9.140625" style="388"/>
    <col min="1281" max="1281" width="5.5703125" style="388" customWidth="1"/>
    <col min="1282" max="1282" width="91.7109375" style="388" customWidth="1"/>
    <col min="1283" max="1283" width="9.140625" style="388"/>
    <col min="1284" max="1284" width="12.85546875" style="388" customWidth="1"/>
    <col min="1285" max="1285" width="9.5703125" style="388" customWidth="1"/>
    <col min="1286" max="1286" width="13.140625" style="388" customWidth="1"/>
    <col min="1287" max="1287" width="11.85546875" style="388" customWidth="1"/>
    <col min="1288" max="1288" width="14.7109375" style="388" customWidth="1"/>
    <col min="1289" max="1289" width="37.7109375" style="388" customWidth="1"/>
    <col min="1290" max="1536" width="9.140625" style="388"/>
    <col min="1537" max="1537" width="5.5703125" style="388" customWidth="1"/>
    <col min="1538" max="1538" width="91.7109375" style="388" customWidth="1"/>
    <col min="1539" max="1539" width="9.140625" style="388"/>
    <col min="1540" max="1540" width="12.85546875" style="388" customWidth="1"/>
    <col min="1541" max="1541" width="9.5703125" style="388" customWidth="1"/>
    <col min="1542" max="1542" width="13.140625" style="388" customWidth="1"/>
    <col min="1543" max="1543" width="11.85546875" style="388" customWidth="1"/>
    <col min="1544" max="1544" width="14.7109375" style="388" customWidth="1"/>
    <col min="1545" max="1545" width="37.7109375" style="388" customWidth="1"/>
    <col min="1546" max="1792" width="9.140625" style="388"/>
    <col min="1793" max="1793" width="5.5703125" style="388" customWidth="1"/>
    <col min="1794" max="1794" width="91.7109375" style="388" customWidth="1"/>
    <col min="1795" max="1795" width="9.140625" style="388"/>
    <col min="1796" max="1796" width="12.85546875" style="388" customWidth="1"/>
    <col min="1797" max="1797" width="9.5703125" style="388" customWidth="1"/>
    <col min="1798" max="1798" width="13.140625" style="388" customWidth="1"/>
    <col min="1799" max="1799" width="11.85546875" style="388" customWidth="1"/>
    <col min="1800" max="1800" width="14.7109375" style="388" customWidth="1"/>
    <col min="1801" max="1801" width="37.7109375" style="388" customWidth="1"/>
    <col min="1802" max="2048" width="9.140625" style="388"/>
    <col min="2049" max="2049" width="5.5703125" style="388" customWidth="1"/>
    <col min="2050" max="2050" width="91.7109375" style="388" customWidth="1"/>
    <col min="2051" max="2051" width="9.140625" style="388"/>
    <col min="2052" max="2052" width="12.85546875" style="388" customWidth="1"/>
    <col min="2053" max="2053" width="9.5703125" style="388" customWidth="1"/>
    <col min="2054" max="2054" width="13.140625" style="388" customWidth="1"/>
    <col min="2055" max="2055" width="11.85546875" style="388" customWidth="1"/>
    <col min="2056" max="2056" width="14.7109375" style="388" customWidth="1"/>
    <col min="2057" max="2057" width="37.7109375" style="388" customWidth="1"/>
    <col min="2058" max="2304" width="9.140625" style="388"/>
    <col min="2305" max="2305" width="5.5703125" style="388" customWidth="1"/>
    <col min="2306" max="2306" width="91.7109375" style="388" customWidth="1"/>
    <col min="2307" max="2307" width="9.140625" style="388"/>
    <col min="2308" max="2308" width="12.85546875" style="388" customWidth="1"/>
    <col min="2309" max="2309" width="9.5703125" style="388" customWidth="1"/>
    <col min="2310" max="2310" width="13.140625" style="388" customWidth="1"/>
    <col min="2311" max="2311" width="11.85546875" style="388" customWidth="1"/>
    <col min="2312" max="2312" width="14.7109375" style="388" customWidth="1"/>
    <col min="2313" max="2313" width="37.7109375" style="388" customWidth="1"/>
    <col min="2314" max="2560" width="9.140625" style="388"/>
    <col min="2561" max="2561" width="5.5703125" style="388" customWidth="1"/>
    <col min="2562" max="2562" width="91.7109375" style="388" customWidth="1"/>
    <col min="2563" max="2563" width="9.140625" style="388"/>
    <col min="2564" max="2564" width="12.85546875" style="388" customWidth="1"/>
    <col min="2565" max="2565" width="9.5703125" style="388" customWidth="1"/>
    <col min="2566" max="2566" width="13.140625" style="388" customWidth="1"/>
    <col min="2567" max="2567" width="11.85546875" style="388" customWidth="1"/>
    <col min="2568" max="2568" width="14.7109375" style="388" customWidth="1"/>
    <col min="2569" max="2569" width="37.7109375" style="388" customWidth="1"/>
    <col min="2570" max="2816" width="9.140625" style="388"/>
    <col min="2817" max="2817" width="5.5703125" style="388" customWidth="1"/>
    <col min="2818" max="2818" width="91.7109375" style="388" customWidth="1"/>
    <col min="2819" max="2819" width="9.140625" style="388"/>
    <col min="2820" max="2820" width="12.85546875" style="388" customWidth="1"/>
    <col min="2821" max="2821" width="9.5703125" style="388" customWidth="1"/>
    <col min="2822" max="2822" width="13.140625" style="388" customWidth="1"/>
    <col min="2823" max="2823" width="11.85546875" style="388" customWidth="1"/>
    <col min="2824" max="2824" width="14.7109375" style="388" customWidth="1"/>
    <col min="2825" max="2825" width="37.7109375" style="388" customWidth="1"/>
    <col min="2826" max="3072" width="9.140625" style="388"/>
    <col min="3073" max="3073" width="5.5703125" style="388" customWidth="1"/>
    <col min="3074" max="3074" width="91.7109375" style="388" customWidth="1"/>
    <col min="3075" max="3075" width="9.140625" style="388"/>
    <col min="3076" max="3076" width="12.85546875" style="388" customWidth="1"/>
    <col min="3077" max="3077" width="9.5703125" style="388" customWidth="1"/>
    <col min="3078" max="3078" width="13.140625" style="388" customWidth="1"/>
    <col min="3079" max="3079" width="11.85546875" style="388" customWidth="1"/>
    <col min="3080" max="3080" width="14.7109375" style="388" customWidth="1"/>
    <col min="3081" max="3081" width="37.7109375" style="388" customWidth="1"/>
    <col min="3082" max="3328" width="9.140625" style="388"/>
    <col min="3329" max="3329" width="5.5703125" style="388" customWidth="1"/>
    <col min="3330" max="3330" width="91.7109375" style="388" customWidth="1"/>
    <col min="3331" max="3331" width="9.140625" style="388"/>
    <col min="3332" max="3332" width="12.85546875" style="388" customWidth="1"/>
    <col min="3333" max="3333" width="9.5703125" style="388" customWidth="1"/>
    <col min="3334" max="3334" width="13.140625" style="388" customWidth="1"/>
    <col min="3335" max="3335" width="11.85546875" style="388" customWidth="1"/>
    <col min="3336" max="3336" width="14.7109375" style="388" customWidth="1"/>
    <col min="3337" max="3337" width="37.7109375" style="388" customWidth="1"/>
    <col min="3338" max="3584" width="9.140625" style="388"/>
    <col min="3585" max="3585" width="5.5703125" style="388" customWidth="1"/>
    <col min="3586" max="3586" width="91.7109375" style="388" customWidth="1"/>
    <col min="3587" max="3587" width="9.140625" style="388"/>
    <col min="3588" max="3588" width="12.85546875" style="388" customWidth="1"/>
    <col min="3589" max="3589" width="9.5703125" style="388" customWidth="1"/>
    <col min="3590" max="3590" width="13.140625" style="388" customWidth="1"/>
    <col min="3591" max="3591" width="11.85546875" style="388" customWidth="1"/>
    <col min="3592" max="3592" width="14.7109375" style="388" customWidth="1"/>
    <col min="3593" max="3593" width="37.7109375" style="388" customWidth="1"/>
    <col min="3594" max="3840" width="9.140625" style="388"/>
    <col min="3841" max="3841" width="5.5703125" style="388" customWidth="1"/>
    <col min="3842" max="3842" width="91.7109375" style="388" customWidth="1"/>
    <col min="3843" max="3843" width="9.140625" style="388"/>
    <col min="3844" max="3844" width="12.85546875" style="388" customWidth="1"/>
    <col min="3845" max="3845" width="9.5703125" style="388" customWidth="1"/>
    <col min="3846" max="3846" width="13.140625" style="388" customWidth="1"/>
    <col min="3847" max="3847" width="11.85546875" style="388" customWidth="1"/>
    <col min="3848" max="3848" width="14.7109375" style="388" customWidth="1"/>
    <col min="3849" max="3849" width="37.7109375" style="388" customWidth="1"/>
    <col min="3850" max="4096" width="9.140625" style="388"/>
    <col min="4097" max="4097" width="5.5703125" style="388" customWidth="1"/>
    <col min="4098" max="4098" width="91.7109375" style="388" customWidth="1"/>
    <col min="4099" max="4099" width="9.140625" style="388"/>
    <col min="4100" max="4100" width="12.85546875" style="388" customWidth="1"/>
    <col min="4101" max="4101" width="9.5703125" style="388" customWidth="1"/>
    <col min="4102" max="4102" width="13.140625" style="388" customWidth="1"/>
    <col min="4103" max="4103" width="11.85546875" style="388" customWidth="1"/>
    <col min="4104" max="4104" width="14.7109375" style="388" customWidth="1"/>
    <col min="4105" max="4105" width="37.7109375" style="388" customWidth="1"/>
    <col min="4106" max="4352" width="9.140625" style="388"/>
    <col min="4353" max="4353" width="5.5703125" style="388" customWidth="1"/>
    <col min="4354" max="4354" width="91.7109375" style="388" customWidth="1"/>
    <col min="4355" max="4355" width="9.140625" style="388"/>
    <col min="4356" max="4356" width="12.85546875" style="388" customWidth="1"/>
    <col min="4357" max="4357" width="9.5703125" style="388" customWidth="1"/>
    <col min="4358" max="4358" width="13.140625" style="388" customWidth="1"/>
    <col min="4359" max="4359" width="11.85546875" style="388" customWidth="1"/>
    <col min="4360" max="4360" width="14.7109375" style="388" customWidth="1"/>
    <col min="4361" max="4361" width="37.7109375" style="388" customWidth="1"/>
    <col min="4362" max="4608" width="9.140625" style="388"/>
    <col min="4609" max="4609" width="5.5703125" style="388" customWidth="1"/>
    <col min="4610" max="4610" width="91.7109375" style="388" customWidth="1"/>
    <col min="4611" max="4611" width="9.140625" style="388"/>
    <col min="4612" max="4612" width="12.85546875" style="388" customWidth="1"/>
    <col min="4613" max="4613" width="9.5703125" style="388" customWidth="1"/>
    <col min="4614" max="4614" width="13.140625" style="388" customWidth="1"/>
    <col min="4615" max="4615" width="11.85546875" style="388" customWidth="1"/>
    <col min="4616" max="4616" width="14.7109375" style="388" customWidth="1"/>
    <col min="4617" max="4617" width="37.7109375" style="388" customWidth="1"/>
    <col min="4618" max="4864" width="9.140625" style="388"/>
    <col min="4865" max="4865" width="5.5703125" style="388" customWidth="1"/>
    <col min="4866" max="4866" width="91.7109375" style="388" customWidth="1"/>
    <col min="4867" max="4867" width="9.140625" style="388"/>
    <col min="4868" max="4868" width="12.85546875" style="388" customWidth="1"/>
    <col min="4869" max="4869" width="9.5703125" style="388" customWidth="1"/>
    <col min="4870" max="4870" width="13.140625" style="388" customWidth="1"/>
    <col min="4871" max="4871" width="11.85546875" style="388" customWidth="1"/>
    <col min="4872" max="4872" width="14.7109375" style="388" customWidth="1"/>
    <col min="4873" max="4873" width="37.7109375" style="388" customWidth="1"/>
    <col min="4874" max="5120" width="9.140625" style="388"/>
    <col min="5121" max="5121" width="5.5703125" style="388" customWidth="1"/>
    <col min="5122" max="5122" width="91.7109375" style="388" customWidth="1"/>
    <col min="5123" max="5123" width="9.140625" style="388"/>
    <col min="5124" max="5124" width="12.85546875" style="388" customWidth="1"/>
    <col min="5125" max="5125" width="9.5703125" style="388" customWidth="1"/>
    <col min="5126" max="5126" width="13.140625" style="388" customWidth="1"/>
    <col min="5127" max="5127" width="11.85546875" style="388" customWidth="1"/>
    <col min="5128" max="5128" width="14.7109375" style="388" customWidth="1"/>
    <col min="5129" max="5129" width="37.7109375" style="388" customWidth="1"/>
    <col min="5130" max="5376" width="9.140625" style="388"/>
    <col min="5377" max="5377" width="5.5703125" style="388" customWidth="1"/>
    <col min="5378" max="5378" width="91.7109375" style="388" customWidth="1"/>
    <col min="5379" max="5379" width="9.140625" style="388"/>
    <col min="5380" max="5380" width="12.85546875" style="388" customWidth="1"/>
    <col min="5381" max="5381" width="9.5703125" style="388" customWidth="1"/>
    <col min="5382" max="5382" width="13.140625" style="388" customWidth="1"/>
    <col min="5383" max="5383" width="11.85546875" style="388" customWidth="1"/>
    <col min="5384" max="5384" width="14.7109375" style="388" customWidth="1"/>
    <col min="5385" max="5385" width="37.7109375" style="388" customWidth="1"/>
    <col min="5386" max="5632" width="9.140625" style="388"/>
    <col min="5633" max="5633" width="5.5703125" style="388" customWidth="1"/>
    <col min="5634" max="5634" width="91.7109375" style="388" customWidth="1"/>
    <col min="5635" max="5635" width="9.140625" style="388"/>
    <col min="5636" max="5636" width="12.85546875" style="388" customWidth="1"/>
    <col min="5637" max="5637" width="9.5703125" style="388" customWidth="1"/>
    <col min="5638" max="5638" width="13.140625" style="388" customWidth="1"/>
    <col min="5639" max="5639" width="11.85546875" style="388" customWidth="1"/>
    <col min="5640" max="5640" width="14.7109375" style="388" customWidth="1"/>
    <col min="5641" max="5641" width="37.7109375" style="388" customWidth="1"/>
    <col min="5642" max="5888" width="9.140625" style="388"/>
    <col min="5889" max="5889" width="5.5703125" style="388" customWidth="1"/>
    <col min="5890" max="5890" width="91.7109375" style="388" customWidth="1"/>
    <col min="5891" max="5891" width="9.140625" style="388"/>
    <col min="5892" max="5892" width="12.85546875" style="388" customWidth="1"/>
    <col min="5893" max="5893" width="9.5703125" style="388" customWidth="1"/>
    <col min="5894" max="5894" width="13.140625" style="388" customWidth="1"/>
    <col min="5895" max="5895" width="11.85546875" style="388" customWidth="1"/>
    <col min="5896" max="5896" width="14.7109375" style="388" customWidth="1"/>
    <col min="5897" max="5897" width="37.7109375" style="388" customWidth="1"/>
    <col min="5898" max="6144" width="9.140625" style="388"/>
    <col min="6145" max="6145" width="5.5703125" style="388" customWidth="1"/>
    <col min="6146" max="6146" width="91.7109375" style="388" customWidth="1"/>
    <col min="6147" max="6147" width="9.140625" style="388"/>
    <col min="6148" max="6148" width="12.85546875" style="388" customWidth="1"/>
    <col min="6149" max="6149" width="9.5703125" style="388" customWidth="1"/>
    <col min="6150" max="6150" width="13.140625" style="388" customWidth="1"/>
    <col min="6151" max="6151" width="11.85546875" style="388" customWidth="1"/>
    <col min="6152" max="6152" width="14.7109375" style="388" customWidth="1"/>
    <col min="6153" max="6153" width="37.7109375" style="388" customWidth="1"/>
    <col min="6154" max="6400" width="9.140625" style="388"/>
    <col min="6401" max="6401" width="5.5703125" style="388" customWidth="1"/>
    <col min="6402" max="6402" width="91.7109375" style="388" customWidth="1"/>
    <col min="6403" max="6403" width="9.140625" style="388"/>
    <col min="6404" max="6404" width="12.85546875" style="388" customWidth="1"/>
    <col min="6405" max="6405" width="9.5703125" style="388" customWidth="1"/>
    <col min="6406" max="6406" width="13.140625" style="388" customWidth="1"/>
    <col min="6407" max="6407" width="11.85546875" style="388" customWidth="1"/>
    <col min="6408" max="6408" width="14.7109375" style="388" customWidth="1"/>
    <col min="6409" max="6409" width="37.7109375" style="388" customWidth="1"/>
    <col min="6410" max="6656" width="9.140625" style="388"/>
    <col min="6657" max="6657" width="5.5703125" style="388" customWidth="1"/>
    <col min="6658" max="6658" width="91.7109375" style="388" customWidth="1"/>
    <col min="6659" max="6659" width="9.140625" style="388"/>
    <col min="6660" max="6660" width="12.85546875" style="388" customWidth="1"/>
    <col min="6661" max="6661" width="9.5703125" style="388" customWidth="1"/>
    <col min="6662" max="6662" width="13.140625" style="388" customWidth="1"/>
    <col min="6663" max="6663" width="11.85546875" style="388" customWidth="1"/>
    <col min="6664" max="6664" width="14.7109375" style="388" customWidth="1"/>
    <col min="6665" max="6665" width="37.7109375" style="388" customWidth="1"/>
    <col min="6666" max="6912" width="9.140625" style="388"/>
    <col min="6913" max="6913" width="5.5703125" style="388" customWidth="1"/>
    <col min="6914" max="6914" width="91.7109375" style="388" customWidth="1"/>
    <col min="6915" max="6915" width="9.140625" style="388"/>
    <col min="6916" max="6916" width="12.85546875" style="388" customWidth="1"/>
    <col min="6917" max="6917" width="9.5703125" style="388" customWidth="1"/>
    <col min="6918" max="6918" width="13.140625" style="388" customWidth="1"/>
    <col min="6919" max="6919" width="11.85546875" style="388" customWidth="1"/>
    <col min="6920" max="6920" width="14.7109375" style="388" customWidth="1"/>
    <col min="6921" max="6921" width="37.7109375" style="388" customWidth="1"/>
    <col min="6922" max="7168" width="9.140625" style="388"/>
    <col min="7169" max="7169" width="5.5703125" style="388" customWidth="1"/>
    <col min="7170" max="7170" width="91.7109375" style="388" customWidth="1"/>
    <col min="7171" max="7171" width="9.140625" style="388"/>
    <col min="7172" max="7172" width="12.85546875" style="388" customWidth="1"/>
    <col min="7173" max="7173" width="9.5703125" style="388" customWidth="1"/>
    <col min="7174" max="7174" width="13.140625" style="388" customWidth="1"/>
    <col min="7175" max="7175" width="11.85546875" style="388" customWidth="1"/>
    <col min="7176" max="7176" width="14.7109375" style="388" customWidth="1"/>
    <col min="7177" max="7177" width="37.7109375" style="388" customWidth="1"/>
    <col min="7178" max="7424" width="9.140625" style="388"/>
    <col min="7425" max="7425" width="5.5703125" style="388" customWidth="1"/>
    <col min="7426" max="7426" width="91.7109375" style="388" customWidth="1"/>
    <col min="7427" max="7427" width="9.140625" style="388"/>
    <col min="7428" max="7428" width="12.85546875" style="388" customWidth="1"/>
    <col min="7429" max="7429" width="9.5703125" style="388" customWidth="1"/>
    <col min="7430" max="7430" width="13.140625" style="388" customWidth="1"/>
    <col min="7431" max="7431" width="11.85546875" style="388" customWidth="1"/>
    <col min="7432" max="7432" width="14.7109375" style="388" customWidth="1"/>
    <col min="7433" max="7433" width="37.7109375" style="388" customWidth="1"/>
    <col min="7434" max="7680" width="9.140625" style="388"/>
    <col min="7681" max="7681" width="5.5703125" style="388" customWidth="1"/>
    <col min="7682" max="7682" width="91.7109375" style="388" customWidth="1"/>
    <col min="7683" max="7683" width="9.140625" style="388"/>
    <col min="7684" max="7684" width="12.85546875" style="388" customWidth="1"/>
    <col min="7685" max="7685" width="9.5703125" style="388" customWidth="1"/>
    <col min="7686" max="7686" width="13.140625" style="388" customWidth="1"/>
    <col min="7687" max="7687" width="11.85546875" style="388" customWidth="1"/>
    <col min="7688" max="7688" width="14.7109375" style="388" customWidth="1"/>
    <col min="7689" max="7689" width="37.7109375" style="388" customWidth="1"/>
    <col min="7690" max="7936" width="9.140625" style="388"/>
    <col min="7937" max="7937" width="5.5703125" style="388" customWidth="1"/>
    <col min="7938" max="7938" width="91.7109375" style="388" customWidth="1"/>
    <col min="7939" max="7939" width="9.140625" style="388"/>
    <col min="7940" max="7940" width="12.85546875" style="388" customWidth="1"/>
    <col min="7941" max="7941" width="9.5703125" style="388" customWidth="1"/>
    <col min="7942" max="7942" width="13.140625" style="388" customWidth="1"/>
    <col min="7943" max="7943" width="11.85546875" style="388" customWidth="1"/>
    <col min="7944" max="7944" width="14.7109375" style="388" customWidth="1"/>
    <col min="7945" max="7945" width="37.7109375" style="388" customWidth="1"/>
    <col min="7946" max="8192" width="9.140625" style="388"/>
    <col min="8193" max="8193" width="5.5703125" style="388" customWidth="1"/>
    <col min="8194" max="8194" width="91.7109375" style="388" customWidth="1"/>
    <col min="8195" max="8195" width="9.140625" style="388"/>
    <col min="8196" max="8196" width="12.85546875" style="388" customWidth="1"/>
    <col min="8197" max="8197" width="9.5703125" style="388" customWidth="1"/>
    <col min="8198" max="8198" width="13.140625" style="388" customWidth="1"/>
    <col min="8199" max="8199" width="11.85546875" style="388" customWidth="1"/>
    <col min="8200" max="8200" width="14.7109375" style="388" customWidth="1"/>
    <col min="8201" max="8201" width="37.7109375" style="388" customWidth="1"/>
    <col min="8202" max="8448" width="9.140625" style="388"/>
    <col min="8449" max="8449" width="5.5703125" style="388" customWidth="1"/>
    <col min="8450" max="8450" width="91.7109375" style="388" customWidth="1"/>
    <col min="8451" max="8451" width="9.140625" style="388"/>
    <col min="8452" max="8452" width="12.85546875" style="388" customWidth="1"/>
    <col min="8453" max="8453" width="9.5703125" style="388" customWidth="1"/>
    <col min="8454" max="8454" width="13.140625" style="388" customWidth="1"/>
    <col min="8455" max="8455" width="11.85546875" style="388" customWidth="1"/>
    <col min="8456" max="8456" width="14.7109375" style="388" customWidth="1"/>
    <col min="8457" max="8457" width="37.7109375" style="388" customWidth="1"/>
    <col min="8458" max="8704" width="9.140625" style="388"/>
    <col min="8705" max="8705" width="5.5703125" style="388" customWidth="1"/>
    <col min="8706" max="8706" width="91.7109375" style="388" customWidth="1"/>
    <col min="8707" max="8707" width="9.140625" style="388"/>
    <col min="8708" max="8708" width="12.85546875" style="388" customWidth="1"/>
    <col min="8709" max="8709" width="9.5703125" style="388" customWidth="1"/>
    <col min="8710" max="8710" width="13.140625" style="388" customWidth="1"/>
    <col min="8711" max="8711" width="11.85546875" style="388" customWidth="1"/>
    <col min="8712" max="8712" width="14.7109375" style="388" customWidth="1"/>
    <col min="8713" max="8713" width="37.7109375" style="388" customWidth="1"/>
    <col min="8714" max="8960" width="9.140625" style="388"/>
    <col min="8961" max="8961" width="5.5703125" style="388" customWidth="1"/>
    <col min="8962" max="8962" width="91.7109375" style="388" customWidth="1"/>
    <col min="8963" max="8963" width="9.140625" style="388"/>
    <col min="8964" max="8964" width="12.85546875" style="388" customWidth="1"/>
    <col min="8965" max="8965" width="9.5703125" style="388" customWidth="1"/>
    <col min="8966" max="8966" width="13.140625" style="388" customWidth="1"/>
    <col min="8967" max="8967" width="11.85546875" style="388" customWidth="1"/>
    <col min="8968" max="8968" width="14.7109375" style="388" customWidth="1"/>
    <col min="8969" max="8969" width="37.7109375" style="388" customWidth="1"/>
    <col min="8970" max="9216" width="9.140625" style="388"/>
    <col min="9217" max="9217" width="5.5703125" style="388" customWidth="1"/>
    <col min="9218" max="9218" width="91.7109375" style="388" customWidth="1"/>
    <col min="9219" max="9219" width="9.140625" style="388"/>
    <col min="9220" max="9220" width="12.85546875" style="388" customWidth="1"/>
    <col min="9221" max="9221" width="9.5703125" style="388" customWidth="1"/>
    <col min="9222" max="9222" width="13.140625" style="388" customWidth="1"/>
    <col min="9223" max="9223" width="11.85546875" style="388" customWidth="1"/>
    <col min="9224" max="9224" width="14.7109375" style="388" customWidth="1"/>
    <col min="9225" max="9225" width="37.7109375" style="388" customWidth="1"/>
    <col min="9226" max="9472" width="9.140625" style="388"/>
    <col min="9473" max="9473" width="5.5703125" style="388" customWidth="1"/>
    <col min="9474" max="9474" width="91.7109375" style="388" customWidth="1"/>
    <col min="9475" max="9475" width="9.140625" style="388"/>
    <col min="9476" max="9476" width="12.85546875" style="388" customWidth="1"/>
    <col min="9477" max="9477" width="9.5703125" style="388" customWidth="1"/>
    <col min="9478" max="9478" width="13.140625" style="388" customWidth="1"/>
    <col min="9479" max="9479" width="11.85546875" style="388" customWidth="1"/>
    <col min="9480" max="9480" width="14.7109375" style="388" customWidth="1"/>
    <col min="9481" max="9481" width="37.7109375" style="388" customWidth="1"/>
    <col min="9482" max="9728" width="9.140625" style="388"/>
    <col min="9729" max="9729" width="5.5703125" style="388" customWidth="1"/>
    <col min="9730" max="9730" width="91.7109375" style="388" customWidth="1"/>
    <col min="9731" max="9731" width="9.140625" style="388"/>
    <col min="9732" max="9732" width="12.85546875" style="388" customWidth="1"/>
    <col min="9733" max="9733" width="9.5703125" style="388" customWidth="1"/>
    <col min="9734" max="9734" width="13.140625" style="388" customWidth="1"/>
    <col min="9735" max="9735" width="11.85546875" style="388" customWidth="1"/>
    <col min="9736" max="9736" width="14.7109375" style="388" customWidth="1"/>
    <col min="9737" max="9737" width="37.7109375" style="388" customWidth="1"/>
    <col min="9738" max="9984" width="9.140625" style="388"/>
    <col min="9985" max="9985" width="5.5703125" style="388" customWidth="1"/>
    <col min="9986" max="9986" width="91.7109375" style="388" customWidth="1"/>
    <col min="9987" max="9987" width="9.140625" style="388"/>
    <col min="9988" max="9988" width="12.85546875" style="388" customWidth="1"/>
    <col min="9989" max="9989" width="9.5703125" style="388" customWidth="1"/>
    <col min="9990" max="9990" width="13.140625" style="388" customWidth="1"/>
    <col min="9991" max="9991" width="11.85546875" style="388" customWidth="1"/>
    <col min="9992" max="9992" width="14.7109375" style="388" customWidth="1"/>
    <col min="9993" max="9993" width="37.7109375" style="388" customWidth="1"/>
    <col min="9994" max="10240" width="9.140625" style="388"/>
    <col min="10241" max="10241" width="5.5703125" style="388" customWidth="1"/>
    <col min="10242" max="10242" width="91.7109375" style="388" customWidth="1"/>
    <col min="10243" max="10243" width="9.140625" style="388"/>
    <col min="10244" max="10244" width="12.85546875" style="388" customWidth="1"/>
    <col min="10245" max="10245" width="9.5703125" style="388" customWidth="1"/>
    <col min="10246" max="10246" width="13.140625" style="388" customWidth="1"/>
    <col min="10247" max="10247" width="11.85546875" style="388" customWidth="1"/>
    <col min="10248" max="10248" width="14.7109375" style="388" customWidth="1"/>
    <col min="10249" max="10249" width="37.7109375" style="388" customWidth="1"/>
    <col min="10250" max="10496" width="9.140625" style="388"/>
    <col min="10497" max="10497" width="5.5703125" style="388" customWidth="1"/>
    <col min="10498" max="10498" width="91.7109375" style="388" customWidth="1"/>
    <col min="10499" max="10499" width="9.140625" style="388"/>
    <col min="10500" max="10500" width="12.85546875" style="388" customWidth="1"/>
    <col min="10501" max="10501" width="9.5703125" style="388" customWidth="1"/>
    <col min="10502" max="10502" width="13.140625" style="388" customWidth="1"/>
    <col min="10503" max="10503" width="11.85546875" style="388" customWidth="1"/>
    <col min="10504" max="10504" width="14.7109375" style="388" customWidth="1"/>
    <col min="10505" max="10505" width="37.7109375" style="388" customWidth="1"/>
    <col min="10506" max="10752" width="9.140625" style="388"/>
    <col min="10753" max="10753" width="5.5703125" style="388" customWidth="1"/>
    <col min="10754" max="10754" width="91.7109375" style="388" customWidth="1"/>
    <col min="10755" max="10755" width="9.140625" style="388"/>
    <col min="10756" max="10756" width="12.85546875" style="388" customWidth="1"/>
    <col min="10757" max="10757" width="9.5703125" style="388" customWidth="1"/>
    <col min="10758" max="10758" width="13.140625" style="388" customWidth="1"/>
    <col min="10759" max="10759" width="11.85546875" style="388" customWidth="1"/>
    <col min="10760" max="10760" width="14.7109375" style="388" customWidth="1"/>
    <col min="10761" max="10761" width="37.7109375" style="388" customWidth="1"/>
    <col min="10762" max="11008" width="9.140625" style="388"/>
    <col min="11009" max="11009" width="5.5703125" style="388" customWidth="1"/>
    <col min="11010" max="11010" width="91.7109375" style="388" customWidth="1"/>
    <col min="11011" max="11011" width="9.140625" style="388"/>
    <col min="11012" max="11012" width="12.85546875" style="388" customWidth="1"/>
    <col min="11013" max="11013" width="9.5703125" style="388" customWidth="1"/>
    <col min="11014" max="11014" width="13.140625" style="388" customWidth="1"/>
    <col min="11015" max="11015" width="11.85546875" style="388" customWidth="1"/>
    <col min="11016" max="11016" width="14.7109375" style="388" customWidth="1"/>
    <col min="11017" max="11017" width="37.7109375" style="388" customWidth="1"/>
    <col min="11018" max="11264" width="9.140625" style="388"/>
    <col min="11265" max="11265" width="5.5703125" style="388" customWidth="1"/>
    <col min="11266" max="11266" width="91.7109375" style="388" customWidth="1"/>
    <col min="11267" max="11267" width="9.140625" style="388"/>
    <col min="11268" max="11268" width="12.85546875" style="388" customWidth="1"/>
    <col min="11269" max="11269" width="9.5703125" style="388" customWidth="1"/>
    <col min="11270" max="11270" width="13.140625" style="388" customWidth="1"/>
    <col min="11271" max="11271" width="11.85546875" style="388" customWidth="1"/>
    <col min="11272" max="11272" width="14.7109375" style="388" customWidth="1"/>
    <col min="11273" max="11273" width="37.7109375" style="388" customWidth="1"/>
    <col min="11274" max="11520" width="9.140625" style="388"/>
    <col min="11521" max="11521" width="5.5703125" style="388" customWidth="1"/>
    <col min="11522" max="11522" width="91.7109375" style="388" customWidth="1"/>
    <col min="11523" max="11523" width="9.140625" style="388"/>
    <col min="11524" max="11524" width="12.85546875" style="388" customWidth="1"/>
    <col min="11525" max="11525" width="9.5703125" style="388" customWidth="1"/>
    <col min="11526" max="11526" width="13.140625" style="388" customWidth="1"/>
    <col min="11527" max="11527" width="11.85546875" style="388" customWidth="1"/>
    <col min="11528" max="11528" width="14.7109375" style="388" customWidth="1"/>
    <col min="11529" max="11529" width="37.7109375" style="388" customWidth="1"/>
    <col min="11530" max="11776" width="9.140625" style="388"/>
    <col min="11777" max="11777" width="5.5703125" style="388" customWidth="1"/>
    <col min="11778" max="11778" width="91.7109375" style="388" customWidth="1"/>
    <col min="11779" max="11779" width="9.140625" style="388"/>
    <col min="11780" max="11780" width="12.85546875" style="388" customWidth="1"/>
    <col min="11781" max="11781" width="9.5703125" style="388" customWidth="1"/>
    <col min="11782" max="11782" width="13.140625" style="388" customWidth="1"/>
    <col min="11783" max="11783" width="11.85546875" style="388" customWidth="1"/>
    <col min="11784" max="11784" width="14.7109375" style="388" customWidth="1"/>
    <col min="11785" max="11785" width="37.7109375" style="388" customWidth="1"/>
    <col min="11786" max="12032" width="9.140625" style="388"/>
    <col min="12033" max="12033" width="5.5703125" style="388" customWidth="1"/>
    <col min="12034" max="12034" width="91.7109375" style="388" customWidth="1"/>
    <col min="12035" max="12035" width="9.140625" style="388"/>
    <col min="12036" max="12036" width="12.85546875" style="388" customWidth="1"/>
    <col min="12037" max="12037" width="9.5703125" style="388" customWidth="1"/>
    <col min="12038" max="12038" width="13.140625" style="388" customWidth="1"/>
    <col min="12039" max="12039" width="11.85546875" style="388" customWidth="1"/>
    <col min="12040" max="12040" width="14.7109375" style="388" customWidth="1"/>
    <col min="12041" max="12041" width="37.7109375" style="388" customWidth="1"/>
    <col min="12042" max="12288" width="9.140625" style="388"/>
    <col min="12289" max="12289" width="5.5703125" style="388" customWidth="1"/>
    <col min="12290" max="12290" width="91.7109375" style="388" customWidth="1"/>
    <col min="12291" max="12291" width="9.140625" style="388"/>
    <col min="12292" max="12292" width="12.85546875" style="388" customWidth="1"/>
    <col min="12293" max="12293" width="9.5703125" style="388" customWidth="1"/>
    <col min="12294" max="12294" width="13.140625" style="388" customWidth="1"/>
    <col min="12295" max="12295" width="11.85546875" style="388" customWidth="1"/>
    <col min="12296" max="12296" width="14.7109375" style="388" customWidth="1"/>
    <col min="12297" max="12297" width="37.7109375" style="388" customWidth="1"/>
    <col min="12298" max="12544" width="9.140625" style="388"/>
    <col min="12545" max="12545" width="5.5703125" style="388" customWidth="1"/>
    <col min="12546" max="12546" width="91.7109375" style="388" customWidth="1"/>
    <col min="12547" max="12547" width="9.140625" style="388"/>
    <col min="12548" max="12548" width="12.85546875" style="388" customWidth="1"/>
    <col min="12549" max="12549" width="9.5703125" style="388" customWidth="1"/>
    <col min="12550" max="12550" width="13.140625" style="388" customWidth="1"/>
    <col min="12551" max="12551" width="11.85546875" style="388" customWidth="1"/>
    <col min="12552" max="12552" width="14.7109375" style="388" customWidth="1"/>
    <col min="12553" max="12553" width="37.7109375" style="388" customWidth="1"/>
    <col min="12554" max="12800" width="9.140625" style="388"/>
    <col min="12801" max="12801" width="5.5703125" style="388" customWidth="1"/>
    <col min="12802" max="12802" width="91.7109375" style="388" customWidth="1"/>
    <col min="12803" max="12803" width="9.140625" style="388"/>
    <col min="12804" max="12804" width="12.85546875" style="388" customWidth="1"/>
    <col min="12805" max="12805" width="9.5703125" style="388" customWidth="1"/>
    <col min="12806" max="12806" width="13.140625" style="388" customWidth="1"/>
    <col min="12807" max="12807" width="11.85546875" style="388" customWidth="1"/>
    <col min="12808" max="12808" width="14.7109375" style="388" customWidth="1"/>
    <col min="12809" max="12809" width="37.7109375" style="388" customWidth="1"/>
    <col min="12810" max="13056" width="9.140625" style="388"/>
    <col min="13057" max="13057" width="5.5703125" style="388" customWidth="1"/>
    <col min="13058" max="13058" width="91.7109375" style="388" customWidth="1"/>
    <col min="13059" max="13059" width="9.140625" style="388"/>
    <col min="13060" max="13060" width="12.85546875" style="388" customWidth="1"/>
    <col min="13061" max="13061" width="9.5703125" style="388" customWidth="1"/>
    <col min="13062" max="13062" width="13.140625" style="388" customWidth="1"/>
    <col min="13063" max="13063" width="11.85546875" style="388" customWidth="1"/>
    <col min="13064" max="13064" width="14.7109375" style="388" customWidth="1"/>
    <col min="13065" max="13065" width="37.7109375" style="388" customWidth="1"/>
    <col min="13066" max="13312" width="9.140625" style="388"/>
    <col min="13313" max="13313" width="5.5703125" style="388" customWidth="1"/>
    <col min="13314" max="13314" width="91.7109375" style="388" customWidth="1"/>
    <col min="13315" max="13315" width="9.140625" style="388"/>
    <col min="13316" max="13316" width="12.85546875" style="388" customWidth="1"/>
    <col min="13317" max="13317" width="9.5703125" style="388" customWidth="1"/>
    <col min="13318" max="13318" width="13.140625" style="388" customWidth="1"/>
    <col min="13319" max="13319" width="11.85546875" style="388" customWidth="1"/>
    <col min="13320" max="13320" width="14.7109375" style="388" customWidth="1"/>
    <col min="13321" max="13321" width="37.7109375" style="388" customWidth="1"/>
    <col min="13322" max="13568" width="9.140625" style="388"/>
    <col min="13569" max="13569" width="5.5703125" style="388" customWidth="1"/>
    <col min="13570" max="13570" width="91.7109375" style="388" customWidth="1"/>
    <col min="13571" max="13571" width="9.140625" style="388"/>
    <col min="13572" max="13572" width="12.85546875" style="388" customWidth="1"/>
    <col min="13573" max="13573" width="9.5703125" style="388" customWidth="1"/>
    <col min="13574" max="13574" width="13.140625" style="388" customWidth="1"/>
    <col min="13575" max="13575" width="11.85546875" style="388" customWidth="1"/>
    <col min="13576" max="13576" width="14.7109375" style="388" customWidth="1"/>
    <col min="13577" max="13577" width="37.7109375" style="388" customWidth="1"/>
    <col min="13578" max="13824" width="9.140625" style="388"/>
    <col min="13825" max="13825" width="5.5703125" style="388" customWidth="1"/>
    <col min="13826" max="13826" width="91.7109375" style="388" customWidth="1"/>
    <col min="13827" max="13827" width="9.140625" style="388"/>
    <col min="13828" max="13828" width="12.85546875" style="388" customWidth="1"/>
    <col min="13829" max="13829" width="9.5703125" style="388" customWidth="1"/>
    <col min="13830" max="13830" width="13.140625" style="388" customWidth="1"/>
    <col min="13831" max="13831" width="11.85546875" style="388" customWidth="1"/>
    <col min="13832" max="13832" width="14.7109375" style="388" customWidth="1"/>
    <col min="13833" max="13833" width="37.7109375" style="388" customWidth="1"/>
    <col min="13834" max="14080" width="9.140625" style="388"/>
    <col min="14081" max="14081" width="5.5703125" style="388" customWidth="1"/>
    <col min="14082" max="14082" width="91.7109375" style="388" customWidth="1"/>
    <col min="14083" max="14083" width="9.140625" style="388"/>
    <col min="14084" max="14084" width="12.85546875" style="388" customWidth="1"/>
    <col min="14085" max="14085" width="9.5703125" style="388" customWidth="1"/>
    <col min="14086" max="14086" width="13.140625" style="388" customWidth="1"/>
    <col min="14087" max="14087" width="11.85546875" style="388" customWidth="1"/>
    <col min="14088" max="14088" width="14.7109375" style="388" customWidth="1"/>
    <col min="14089" max="14089" width="37.7109375" style="388" customWidth="1"/>
    <col min="14090" max="14336" width="9.140625" style="388"/>
    <col min="14337" max="14337" width="5.5703125" style="388" customWidth="1"/>
    <col min="14338" max="14338" width="91.7109375" style="388" customWidth="1"/>
    <col min="14339" max="14339" width="9.140625" style="388"/>
    <col min="14340" max="14340" width="12.85546875" style="388" customWidth="1"/>
    <col min="14341" max="14341" width="9.5703125" style="388" customWidth="1"/>
    <col min="14342" max="14342" width="13.140625" style="388" customWidth="1"/>
    <col min="14343" max="14343" width="11.85546875" style="388" customWidth="1"/>
    <col min="14344" max="14344" width="14.7109375" style="388" customWidth="1"/>
    <col min="14345" max="14345" width="37.7109375" style="388" customWidth="1"/>
    <col min="14346" max="14592" width="9.140625" style="388"/>
    <col min="14593" max="14593" width="5.5703125" style="388" customWidth="1"/>
    <col min="14594" max="14594" width="91.7109375" style="388" customWidth="1"/>
    <col min="14595" max="14595" width="9.140625" style="388"/>
    <col min="14596" max="14596" width="12.85546875" style="388" customWidth="1"/>
    <col min="14597" max="14597" width="9.5703125" style="388" customWidth="1"/>
    <col min="14598" max="14598" width="13.140625" style="388" customWidth="1"/>
    <col min="14599" max="14599" width="11.85546875" style="388" customWidth="1"/>
    <col min="14600" max="14600" width="14.7109375" style="388" customWidth="1"/>
    <col min="14601" max="14601" width="37.7109375" style="388" customWidth="1"/>
    <col min="14602" max="14848" width="9.140625" style="388"/>
    <col min="14849" max="14849" width="5.5703125" style="388" customWidth="1"/>
    <col min="14850" max="14850" width="91.7109375" style="388" customWidth="1"/>
    <col min="14851" max="14851" width="9.140625" style="388"/>
    <col min="14852" max="14852" width="12.85546875" style="388" customWidth="1"/>
    <col min="14853" max="14853" width="9.5703125" style="388" customWidth="1"/>
    <col min="14854" max="14854" width="13.140625" style="388" customWidth="1"/>
    <col min="14855" max="14855" width="11.85546875" style="388" customWidth="1"/>
    <col min="14856" max="14856" width="14.7109375" style="388" customWidth="1"/>
    <col min="14857" max="14857" width="37.7109375" style="388" customWidth="1"/>
    <col min="14858" max="15104" width="9.140625" style="388"/>
    <col min="15105" max="15105" width="5.5703125" style="388" customWidth="1"/>
    <col min="15106" max="15106" width="91.7109375" style="388" customWidth="1"/>
    <col min="15107" max="15107" width="9.140625" style="388"/>
    <col min="15108" max="15108" width="12.85546875" style="388" customWidth="1"/>
    <col min="15109" max="15109" width="9.5703125" style="388" customWidth="1"/>
    <col min="15110" max="15110" width="13.140625" style="388" customWidth="1"/>
    <col min="15111" max="15111" width="11.85546875" style="388" customWidth="1"/>
    <col min="15112" max="15112" width="14.7109375" style="388" customWidth="1"/>
    <col min="15113" max="15113" width="37.7109375" style="388" customWidth="1"/>
    <col min="15114" max="15360" width="9.140625" style="388"/>
    <col min="15361" max="15361" width="5.5703125" style="388" customWidth="1"/>
    <col min="15362" max="15362" width="91.7109375" style="388" customWidth="1"/>
    <col min="15363" max="15363" width="9.140625" style="388"/>
    <col min="15364" max="15364" width="12.85546875" style="388" customWidth="1"/>
    <col min="15365" max="15365" width="9.5703125" style="388" customWidth="1"/>
    <col min="15366" max="15366" width="13.140625" style="388" customWidth="1"/>
    <col min="15367" max="15367" width="11.85546875" style="388" customWidth="1"/>
    <col min="15368" max="15368" width="14.7109375" style="388" customWidth="1"/>
    <col min="15369" max="15369" width="37.7109375" style="388" customWidth="1"/>
    <col min="15370" max="15616" width="9.140625" style="388"/>
    <col min="15617" max="15617" width="5.5703125" style="388" customWidth="1"/>
    <col min="15618" max="15618" width="91.7109375" style="388" customWidth="1"/>
    <col min="15619" max="15619" width="9.140625" style="388"/>
    <col min="15620" max="15620" width="12.85546875" style="388" customWidth="1"/>
    <col min="15621" max="15621" width="9.5703125" style="388" customWidth="1"/>
    <col min="15622" max="15622" width="13.140625" style="388" customWidth="1"/>
    <col min="15623" max="15623" width="11.85546875" style="388" customWidth="1"/>
    <col min="15624" max="15624" width="14.7109375" style="388" customWidth="1"/>
    <col min="15625" max="15625" width="37.7109375" style="388" customWidth="1"/>
    <col min="15626" max="15872" width="9.140625" style="388"/>
    <col min="15873" max="15873" width="5.5703125" style="388" customWidth="1"/>
    <col min="15874" max="15874" width="91.7109375" style="388" customWidth="1"/>
    <col min="15875" max="15875" width="9.140625" style="388"/>
    <col min="15876" max="15876" width="12.85546875" style="388" customWidth="1"/>
    <col min="15877" max="15877" width="9.5703125" style="388" customWidth="1"/>
    <col min="15878" max="15878" width="13.140625" style="388" customWidth="1"/>
    <col min="15879" max="15879" width="11.85546875" style="388" customWidth="1"/>
    <col min="15880" max="15880" width="14.7109375" style="388" customWidth="1"/>
    <col min="15881" max="15881" width="37.7109375" style="388" customWidth="1"/>
    <col min="15882" max="16128" width="9.140625" style="388"/>
    <col min="16129" max="16129" width="5.5703125" style="388" customWidth="1"/>
    <col min="16130" max="16130" width="91.7109375" style="388" customWidth="1"/>
    <col min="16131" max="16131" width="9.140625" style="388"/>
    <col min="16132" max="16132" width="12.85546875" style="388" customWidth="1"/>
    <col min="16133" max="16133" width="9.5703125" style="388" customWidth="1"/>
    <col min="16134" max="16134" width="13.140625" style="388" customWidth="1"/>
    <col min="16135" max="16135" width="11.85546875" style="388" customWidth="1"/>
    <col min="16136" max="16136" width="14.7109375" style="388" customWidth="1"/>
    <col min="16137" max="16137" width="37.7109375" style="388" customWidth="1"/>
    <col min="16138" max="16384" width="9.140625" style="388"/>
  </cols>
  <sheetData>
    <row r="1" spans="1:16" ht="27.75" customHeight="1">
      <c r="A1" s="723" t="s">
        <v>685</v>
      </c>
      <c r="B1" s="723"/>
      <c r="C1" s="723"/>
      <c r="D1" s="723"/>
      <c r="E1" s="723"/>
      <c r="F1" s="723"/>
      <c r="G1" s="723"/>
      <c r="H1" s="723"/>
      <c r="I1" s="723"/>
    </row>
    <row r="2" spans="1:16" ht="18.75" thickBot="1">
      <c r="A2" s="724"/>
      <c r="B2" s="724"/>
      <c r="D2" s="725"/>
      <c r="I2" s="726" t="s">
        <v>438</v>
      </c>
    </row>
    <row r="3" spans="1:16" ht="33.75" customHeight="1">
      <c r="A3" s="727" t="s">
        <v>452</v>
      </c>
      <c r="B3" s="728" t="s">
        <v>179</v>
      </c>
      <c r="C3" s="729" t="s">
        <v>17</v>
      </c>
      <c r="D3" s="729" t="s">
        <v>730</v>
      </c>
      <c r="E3" s="729" t="s">
        <v>376</v>
      </c>
      <c r="F3" s="729"/>
      <c r="G3" s="729"/>
      <c r="H3" s="729"/>
      <c r="I3" s="743" t="s">
        <v>168</v>
      </c>
    </row>
    <row r="4" spans="1:16" ht="76.5" customHeight="1">
      <c r="A4" s="730"/>
      <c r="B4" s="507"/>
      <c r="C4" s="508"/>
      <c r="D4" s="508"/>
      <c r="E4" s="463" t="s">
        <v>141</v>
      </c>
      <c r="F4" s="463" t="s">
        <v>142</v>
      </c>
      <c r="G4" s="463" t="s">
        <v>143</v>
      </c>
      <c r="H4" s="463" t="s">
        <v>68</v>
      </c>
      <c r="I4" s="744"/>
    </row>
    <row r="5" spans="1:16" ht="40.5" customHeight="1">
      <c r="A5" s="731"/>
      <c r="B5" s="404" t="s">
        <v>473</v>
      </c>
      <c r="C5" s="462"/>
      <c r="D5" s="202">
        <f>SUM(E5:H5)</f>
        <v>56662.299999999988</v>
      </c>
      <c r="E5" s="387">
        <f>E6+E21+E50+E72+E109+E113+E148+E156+E160</f>
        <v>14537.800000000001</v>
      </c>
      <c r="F5" s="387">
        <f>F6+F21+F50+F72+F109+F113+F148+F156+F160</f>
        <v>14466.8</v>
      </c>
      <c r="G5" s="387">
        <f>G6+G21+G50+G72+G109+G113+G148+G156+G160</f>
        <v>12834.299999999997</v>
      </c>
      <c r="H5" s="387">
        <f>H6+H21+H50+H72+H109+H113+H148+H156+H160</f>
        <v>14823.399999999998</v>
      </c>
      <c r="I5" s="456"/>
    </row>
    <row r="6" spans="1:16" ht="32.25" customHeight="1">
      <c r="A6" s="732" t="s">
        <v>455</v>
      </c>
      <c r="B6" s="460" t="s">
        <v>687</v>
      </c>
      <c r="C6" s="385"/>
      <c r="D6" s="202">
        <f>SUM(E6:H6)</f>
        <v>236.39999999999998</v>
      </c>
      <c r="E6" s="387">
        <f>E7</f>
        <v>50.3</v>
      </c>
      <c r="F6" s="387">
        <f>F7</f>
        <v>52.5</v>
      </c>
      <c r="G6" s="387">
        <f>G7</f>
        <v>65.899999999999991</v>
      </c>
      <c r="H6" s="387">
        <f>H7</f>
        <v>67.699999999999989</v>
      </c>
      <c r="I6" s="456"/>
      <c r="L6" s="749"/>
    </row>
    <row r="7" spans="1:16" ht="46.5" customHeight="1">
      <c r="A7" s="389" t="s">
        <v>443</v>
      </c>
      <c r="B7" s="733" t="s">
        <v>474</v>
      </c>
      <c r="C7" s="391">
        <v>1010</v>
      </c>
      <c r="D7" s="392">
        <f>E7+F7+G7+H7</f>
        <v>236.39999999999998</v>
      </c>
      <c r="E7" s="393">
        <f>E8+E9+E10+E18</f>
        <v>50.3</v>
      </c>
      <c r="F7" s="393">
        <f>F8+F9+F10+F18</f>
        <v>52.5</v>
      </c>
      <c r="G7" s="393">
        <f>G8+G9+G10+G18</f>
        <v>65.899999999999991</v>
      </c>
      <c r="H7" s="393">
        <f>H8+H9+H10+H18</f>
        <v>67.699999999999989</v>
      </c>
      <c r="I7" s="745"/>
      <c r="M7" s="749"/>
      <c r="O7" s="749"/>
    </row>
    <row r="8" spans="1:16" ht="33" customHeight="1">
      <c r="A8" s="394"/>
      <c r="B8" s="395" t="s">
        <v>35</v>
      </c>
      <c r="C8" s="462">
        <v>1014</v>
      </c>
      <c r="D8" s="396">
        <f>E8+F8+G8+H8</f>
        <v>3.1</v>
      </c>
      <c r="E8" s="734"/>
      <c r="F8" s="734"/>
      <c r="G8" s="734">
        <v>3.1</v>
      </c>
      <c r="H8" s="734"/>
      <c r="I8" s="746"/>
      <c r="M8" s="749"/>
      <c r="O8" s="749"/>
    </row>
    <row r="9" spans="1:16" ht="32.25" customHeight="1">
      <c r="A9" s="394"/>
      <c r="B9" s="395" t="s">
        <v>36</v>
      </c>
      <c r="C9" s="462">
        <v>1015</v>
      </c>
      <c r="D9" s="396">
        <f t="shared" ref="D9:D19" si="0">E9+F9+G9+H9</f>
        <v>0.7</v>
      </c>
      <c r="E9" s="397"/>
      <c r="F9" s="397"/>
      <c r="G9" s="397">
        <v>0.7</v>
      </c>
      <c r="H9" s="397"/>
      <c r="I9" s="745"/>
      <c r="M9" s="749"/>
      <c r="O9" s="749"/>
    </row>
    <row r="10" spans="1:16" ht="37.5" customHeight="1">
      <c r="A10" s="389" t="s">
        <v>495</v>
      </c>
      <c r="B10" s="398" t="s">
        <v>475</v>
      </c>
      <c r="C10" s="391">
        <v>1030</v>
      </c>
      <c r="D10" s="392">
        <f t="shared" si="0"/>
        <v>81.3</v>
      </c>
      <c r="E10" s="393">
        <f>E11</f>
        <v>10.4</v>
      </c>
      <c r="F10" s="393">
        <f t="shared" ref="F10:H10" si="1">F11</f>
        <v>19.100000000000001</v>
      </c>
      <c r="G10" s="393">
        <f t="shared" si="1"/>
        <v>14</v>
      </c>
      <c r="H10" s="393">
        <f t="shared" si="1"/>
        <v>37.799999999999997</v>
      </c>
      <c r="I10" s="745"/>
      <c r="M10" s="749"/>
      <c r="O10" s="749"/>
    </row>
    <row r="11" spans="1:16" ht="25.5" customHeight="1">
      <c r="A11" s="394"/>
      <c r="B11" s="735" t="s">
        <v>542</v>
      </c>
      <c r="C11" s="385">
        <v>1051</v>
      </c>
      <c r="D11" s="386">
        <f t="shared" si="0"/>
        <v>81.3</v>
      </c>
      <c r="E11" s="387">
        <f>SUM(E12:E17)</f>
        <v>10.4</v>
      </c>
      <c r="F11" s="387">
        <f t="shared" ref="F11:H11" si="2">SUM(F12:F17)</f>
        <v>19.100000000000001</v>
      </c>
      <c r="G11" s="387">
        <f t="shared" si="2"/>
        <v>14</v>
      </c>
      <c r="H11" s="387">
        <f t="shared" si="2"/>
        <v>37.799999999999997</v>
      </c>
      <c r="I11" s="745"/>
      <c r="M11" s="749"/>
      <c r="O11" s="749"/>
    </row>
    <row r="12" spans="1:16" ht="27.75" customHeight="1">
      <c r="A12" s="394"/>
      <c r="B12" s="417" t="s">
        <v>593</v>
      </c>
      <c r="C12" s="462"/>
      <c r="D12" s="396">
        <f t="shared" si="0"/>
        <v>3</v>
      </c>
      <c r="E12" s="397"/>
      <c r="F12" s="397"/>
      <c r="G12" s="397"/>
      <c r="H12" s="397">
        <v>3</v>
      </c>
      <c r="I12" s="745"/>
      <c r="M12" s="749"/>
      <c r="O12" s="749"/>
    </row>
    <row r="13" spans="1:16" ht="27.75" customHeight="1">
      <c r="A13" s="394"/>
      <c r="B13" s="417" t="s">
        <v>584</v>
      </c>
      <c r="C13" s="462"/>
      <c r="D13" s="396">
        <f t="shared" si="0"/>
        <v>31.1</v>
      </c>
      <c r="E13" s="397"/>
      <c r="F13" s="397">
        <v>0.3</v>
      </c>
      <c r="G13" s="397"/>
      <c r="H13" s="397">
        <f>30+0.8</f>
        <v>30.8</v>
      </c>
      <c r="I13" s="745"/>
      <c r="M13" s="749"/>
      <c r="O13" s="749"/>
    </row>
    <row r="14" spans="1:16" ht="27.75" customHeight="1">
      <c r="A14" s="394"/>
      <c r="B14" s="417" t="s">
        <v>611</v>
      </c>
      <c r="C14" s="462"/>
      <c r="D14" s="396">
        <f t="shared" si="0"/>
        <v>7.5</v>
      </c>
      <c r="E14" s="397">
        <v>3</v>
      </c>
      <c r="F14" s="397">
        <v>2.5</v>
      </c>
      <c r="G14" s="397">
        <v>2</v>
      </c>
      <c r="H14" s="397"/>
      <c r="I14" s="745"/>
      <c r="M14" s="750"/>
      <c r="N14" s="750"/>
      <c r="O14" s="750"/>
      <c r="P14" s="750"/>
    </row>
    <row r="15" spans="1:16" ht="27.75" customHeight="1">
      <c r="A15" s="394"/>
      <c r="B15" s="417" t="s">
        <v>612</v>
      </c>
      <c r="C15" s="462"/>
      <c r="D15" s="396">
        <f t="shared" si="0"/>
        <v>16</v>
      </c>
      <c r="E15" s="397">
        <v>4</v>
      </c>
      <c r="F15" s="397">
        <v>4</v>
      </c>
      <c r="G15" s="397">
        <v>4</v>
      </c>
      <c r="H15" s="397">
        <v>4</v>
      </c>
      <c r="I15" s="745"/>
      <c r="M15" s="750"/>
      <c r="N15" s="750"/>
      <c r="O15" s="750"/>
      <c r="P15" s="750"/>
    </row>
    <row r="16" spans="1:16" ht="27.75" customHeight="1">
      <c r="A16" s="394"/>
      <c r="B16" s="417" t="s">
        <v>613</v>
      </c>
      <c r="C16" s="462"/>
      <c r="D16" s="396">
        <f t="shared" si="0"/>
        <v>18.100000000000001</v>
      </c>
      <c r="E16" s="397">
        <v>3.4</v>
      </c>
      <c r="F16" s="397">
        <v>6.7</v>
      </c>
      <c r="G16" s="397">
        <v>8</v>
      </c>
      <c r="H16" s="397"/>
      <c r="I16" s="745"/>
      <c r="M16" s="750"/>
      <c r="N16" s="750"/>
      <c r="O16" s="750"/>
      <c r="P16" s="750"/>
    </row>
    <row r="17" spans="1:16" ht="52.5" customHeight="1">
      <c r="A17" s="394"/>
      <c r="B17" s="201" t="s">
        <v>695</v>
      </c>
      <c r="C17" s="462"/>
      <c r="D17" s="396">
        <f t="shared" si="0"/>
        <v>5.6</v>
      </c>
      <c r="E17" s="397"/>
      <c r="F17" s="397">
        <v>5.6</v>
      </c>
      <c r="G17" s="397"/>
      <c r="H17" s="397"/>
      <c r="I17" s="745"/>
      <c r="M17" s="750"/>
      <c r="N17" s="750"/>
      <c r="O17" s="750"/>
      <c r="P17" s="750"/>
    </row>
    <row r="18" spans="1:16" ht="38.25" customHeight="1">
      <c r="A18" s="389" t="s">
        <v>496</v>
      </c>
      <c r="B18" s="401" t="s">
        <v>76</v>
      </c>
      <c r="C18" s="391">
        <v>1080</v>
      </c>
      <c r="D18" s="392">
        <f t="shared" si="0"/>
        <v>151.29999999999998</v>
      </c>
      <c r="E18" s="393">
        <f>E19+E20</f>
        <v>39.9</v>
      </c>
      <c r="F18" s="393">
        <f t="shared" ref="F18:H18" si="3">F19+F20</f>
        <v>33.4</v>
      </c>
      <c r="G18" s="393">
        <f t="shared" si="3"/>
        <v>48.099999999999994</v>
      </c>
      <c r="H18" s="393">
        <f t="shared" si="3"/>
        <v>29.9</v>
      </c>
      <c r="I18" s="745"/>
      <c r="J18" s="751"/>
      <c r="K18" s="751"/>
      <c r="L18" s="751"/>
      <c r="M18" s="749"/>
      <c r="N18" s="749"/>
      <c r="O18" s="749"/>
      <c r="P18" s="749"/>
    </row>
    <row r="19" spans="1:16" ht="27.75" customHeight="1">
      <c r="A19" s="394"/>
      <c r="B19" s="400" t="s">
        <v>696</v>
      </c>
      <c r="C19" s="462"/>
      <c r="D19" s="396">
        <f t="shared" si="0"/>
        <v>94</v>
      </c>
      <c r="E19" s="397">
        <v>39.9</v>
      </c>
      <c r="F19" s="397">
        <v>28.7</v>
      </c>
      <c r="G19" s="397">
        <v>25.4</v>
      </c>
      <c r="H19" s="397"/>
      <c r="I19" s="745"/>
      <c r="J19" s="751"/>
      <c r="K19" s="751"/>
      <c r="L19" s="751"/>
      <c r="M19" s="749"/>
      <c r="N19" s="749"/>
      <c r="O19" s="749"/>
      <c r="P19" s="749"/>
    </row>
    <row r="20" spans="1:16" ht="27.75" customHeight="1">
      <c r="A20" s="394"/>
      <c r="B20" s="395" t="s">
        <v>610</v>
      </c>
      <c r="C20" s="462"/>
      <c r="D20" s="396">
        <f>E20+F20+G20+H20</f>
        <v>57.3</v>
      </c>
      <c r="E20" s="397"/>
      <c r="F20" s="397">
        <v>4.7</v>
      </c>
      <c r="G20" s="397">
        <v>22.7</v>
      </c>
      <c r="H20" s="397">
        <v>29.9</v>
      </c>
      <c r="I20" s="745"/>
    </row>
    <row r="21" spans="1:16" ht="42" customHeight="1">
      <c r="A21" s="384" t="s">
        <v>445</v>
      </c>
      <c r="B21" s="735" t="s">
        <v>538</v>
      </c>
      <c r="C21" s="385"/>
      <c r="D21" s="386">
        <f>E21+F21+G21+H21</f>
        <v>46241.999999999993</v>
      </c>
      <c r="E21" s="387">
        <f>E22+E25+E30+E41</f>
        <v>12146.300000000001</v>
      </c>
      <c r="F21" s="387">
        <f>F22+F25+F30+F41</f>
        <v>12729.8</v>
      </c>
      <c r="G21" s="387">
        <f>G22+G25+G30+G41</f>
        <v>10301.299999999999</v>
      </c>
      <c r="H21" s="387">
        <f>H22+H25+H30+H41</f>
        <v>11064.6</v>
      </c>
      <c r="I21" s="745"/>
      <c r="J21" s="752"/>
      <c r="K21" s="752"/>
      <c r="L21" s="752"/>
    </row>
    <row r="22" spans="1:16" ht="42.75" customHeight="1">
      <c r="A22" s="389" t="s">
        <v>529</v>
      </c>
      <c r="B22" s="390" t="s">
        <v>474</v>
      </c>
      <c r="C22" s="391">
        <v>1010</v>
      </c>
      <c r="D22" s="392">
        <f t="shared" ref="D22:D49" si="4">E22+F22+G22+H22</f>
        <v>28680.400000000001</v>
      </c>
      <c r="E22" s="393">
        <f>E23+E24</f>
        <v>7088.1</v>
      </c>
      <c r="F22" s="393">
        <f>F23+F24</f>
        <v>7904.1</v>
      </c>
      <c r="G22" s="393">
        <f>G23+G24</f>
        <v>6683.2999999999993</v>
      </c>
      <c r="H22" s="393">
        <f>H23+H24</f>
        <v>7004.9</v>
      </c>
      <c r="I22" s="745"/>
    </row>
    <row r="23" spans="1:16" ht="27.75" customHeight="1">
      <c r="A23" s="394"/>
      <c r="B23" s="395" t="s">
        <v>35</v>
      </c>
      <c r="C23" s="462"/>
      <c r="D23" s="396">
        <f t="shared" si="4"/>
        <v>23542.400000000001</v>
      </c>
      <c r="E23" s="397">
        <v>5819.6</v>
      </c>
      <c r="F23" s="397">
        <v>6519</v>
      </c>
      <c r="G23" s="397">
        <f>5518.2-3.1</f>
        <v>5515.0999999999995</v>
      </c>
      <c r="H23" s="397">
        <f>5688.7</f>
        <v>5688.7</v>
      </c>
      <c r="I23" s="745"/>
      <c r="O23" s="753"/>
    </row>
    <row r="24" spans="1:16" ht="27.75" customHeight="1">
      <c r="A24" s="394"/>
      <c r="B24" s="395" t="s">
        <v>36</v>
      </c>
      <c r="C24" s="462"/>
      <c r="D24" s="396">
        <f t="shared" si="4"/>
        <v>5138</v>
      </c>
      <c r="E24" s="397">
        <v>1268.5</v>
      </c>
      <c r="F24" s="397">
        <v>1385.1</v>
      </c>
      <c r="G24" s="397">
        <f>1168.9-0.7</f>
        <v>1168.2</v>
      </c>
      <c r="H24" s="397">
        <f>1316.2</f>
        <v>1316.2</v>
      </c>
      <c r="I24" s="745"/>
      <c r="M24" s="753"/>
      <c r="O24" s="753"/>
    </row>
    <row r="25" spans="1:16" ht="28.5" customHeight="1">
      <c r="A25" s="389" t="s">
        <v>492</v>
      </c>
      <c r="B25" s="398" t="s">
        <v>475</v>
      </c>
      <c r="C25" s="391">
        <v>1030</v>
      </c>
      <c r="D25" s="392">
        <f t="shared" si="4"/>
        <v>6584.9</v>
      </c>
      <c r="E25" s="393">
        <f>SUM(E26:E29)</f>
        <v>2492.6</v>
      </c>
      <c r="F25" s="393">
        <f t="shared" ref="F25:H25" si="5">SUM(F26:F29)</f>
        <v>1766.2</v>
      </c>
      <c r="G25" s="393">
        <f t="shared" si="5"/>
        <v>1089.3999999999999</v>
      </c>
      <c r="H25" s="393">
        <f t="shared" si="5"/>
        <v>1236.7</v>
      </c>
      <c r="I25" s="745"/>
      <c r="J25" s="752"/>
      <c r="K25" s="752"/>
      <c r="M25" s="753"/>
      <c r="O25" s="750"/>
    </row>
    <row r="26" spans="1:16" ht="42.75" customHeight="1">
      <c r="A26" s="394"/>
      <c r="B26" s="399" t="s">
        <v>98</v>
      </c>
      <c r="C26" s="462"/>
      <c r="D26" s="396">
        <f t="shared" si="4"/>
        <v>156.6</v>
      </c>
      <c r="E26" s="397">
        <v>19.899999999999999</v>
      </c>
      <c r="F26" s="397">
        <v>47.1</v>
      </c>
      <c r="G26" s="397">
        <v>38.1</v>
      </c>
      <c r="H26" s="397">
        <v>51.5</v>
      </c>
      <c r="I26" s="745"/>
      <c r="O26" s="750"/>
    </row>
    <row r="27" spans="1:16" ht="30.75" customHeight="1">
      <c r="A27" s="394"/>
      <c r="B27" s="395" t="s">
        <v>476</v>
      </c>
      <c r="C27" s="462"/>
      <c r="D27" s="396">
        <f t="shared" si="4"/>
        <v>20.6</v>
      </c>
      <c r="E27" s="397">
        <v>4.7</v>
      </c>
      <c r="F27" s="397">
        <v>4.3</v>
      </c>
      <c r="G27" s="397">
        <v>5.4</v>
      </c>
      <c r="H27" s="397">
        <v>6.2</v>
      </c>
      <c r="I27" s="745"/>
      <c r="L27" s="749"/>
      <c r="O27" s="750"/>
    </row>
    <row r="28" spans="1:16" ht="30.75" customHeight="1">
      <c r="A28" s="394"/>
      <c r="B28" s="395" t="s">
        <v>35</v>
      </c>
      <c r="C28" s="462"/>
      <c r="D28" s="396">
        <f t="shared" si="4"/>
        <v>5222.1000000000004</v>
      </c>
      <c r="E28" s="397">
        <f>859.2+1164.3</f>
        <v>2023.5</v>
      </c>
      <c r="F28" s="397">
        <f>980.9+398.4</f>
        <v>1379.3</v>
      </c>
      <c r="G28" s="397">
        <f>862.8</f>
        <v>862.8</v>
      </c>
      <c r="H28" s="397">
        <f>956.7-0.2</f>
        <v>956.5</v>
      </c>
      <c r="I28" s="745"/>
      <c r="L28" s="749"/>
      <c r="O28" s="750"/>
    </row>
    <row r="29" spans="1:16" ht="30.75" customHeight="1">
      <c r="A29" s="394"/>
      <c r="B29" s="395" t="s">
        <v>36</v>
      </c>
      <c r="C29" s="462"/>
      <c r="D29" s="396">
        <f t="shared" si="4"/>
        <v>1185.5999999999999</v>
      </c>
      <c r="E29" s="397">
        <f>187.3+257.2</f>
        <v>444.5</v>
      </c>
      <c r="F29" s="397">
        <f>208.9+126.6</f>
        <v>335.5</v>
      </c>
      <c r="G29" s="397">
        <f>183.1</f>
        <v>183.1</v>
      </c>
      <c r="H29" s="397">
        <f>222.5</f>
        <v>222.5</v>
      </c>
      <c r="I29" s="745"/>
      <c r="L29" s="749"/>
    </row>
    <row r="30" spans="1:16" ht="30.75" customHeight="1">
      <c r="A30" s="389" t="s">
        <v>541</v>
      </c>
      <c r="B30" s="398" t="s">
        <v>542</v>
      </c>
      <c r="C30" s="391">
        <v>1051</v>
      </c>
      <c r="D30" s="392">
        <f t="shared" si="4"/>
        <v>509.7</v>
      </c>
      <c r="E30" s="393">
        <f>SUM(E31:E40)</f>
        <v>56.899999999999991</v>
      </c>
      <c r="F30" s="393">
        <f>SUM(F31:F40)</f>
        <v>181.29999999999998</v>
      </c>
      <c r="G30" s="393">
        <f>SUM(G31:G40)</f>
        <v>94.899999999999977</v>
      </c>
      <c r="H30" s="393">
        <f>SUM(H31:H40)</f>
        <v>176.60000000000002</v>
      </c>
      <c r="I30" s="745"/>
    </row>
    <row r="31" spans="1:16" ht="28.5" customHeight="1">
      <c r="A31" s="384"/>
      <c r="B31" s="395" t="s">
        <v>591</v>
      </c>
      <c r="C31" s="385"/>
      <c r="D31" s="396">
        <f t="shared" si="4"/>
        <v>71</v>
      </c>
      <c r="E31" s="397">
        <v>12.1</v>
      </c>
      <c r="F31" s="397">
        <v>34.799999999999997</v>
      </c>
      <c r="G31" s="397">
        <v>12.1</v>
      </c>
      <c r="H31" s="397">
        <v>12</v>
      </c>
      <c r="I31" s="745"/>
    </row>
    <row r="32" spans="1:16" ht="28.5" customHeight="1">
      <c r="A32" s="384"/>
      <c r="B32" s="395" t="s">
        <v>584</v>
      </c>
      <c r="C32" s="385"/>
      <c r="D32" s="396">
        <f t="shared" si="4"/>
        <v>287.80000000000007</v>
      </c>
      <c r="E32" s="397">
        <v>4.9000000000000004</v>
      </c>
      <c r="F32" s="397">
        <v>111.9</v>
      </c>
      <c r="G32" s="397">
        <f>42-0.7</f>
        <v>41.3</v>
      </c>
      <c r="H32" s="397">
        <f>128.4+0.4+0.9</f>
        <v>129.70000000000002</v>
      </c>
      <c r="I32" s="745"/>
    </row>
    <row r="33" spans="1:11" ht="28.5" customHeight="1">
      <c r="A33" s="384"/>
      <c r="B33" s="395" t="s">
        <v>594</v>
      </c>
      <c r="C33" s="385"/>
      <c r="D33" s="396">
        <f t="shared" si="4"/>
        <v>3.4000000000000004</v>
      </c>
      <c r="E33" s="397">
        <v>0.8</v>
      </c>
      <c r="F33" s="397">
        <v>0.9</v>
      </c>
      <c r="G33" s="397">
        <v>0.9</v>
      </c>
      <c r="H33" s="397">
        <v>0.8</v>
      </c>
      <c r="I33" s="745"/>
    </row>
    <row r="34" spans="1:11" ht="47.25" customHeight="1">
      <c r="A34" s="394"/>
      <c r="B34" s="399" t="s">
        <v>588</v>
      </c>
      <c r="C34" s="462"/>
      <c r="D34" s="396">
        <f t="shared" si="4"/>
        <v>60.8</v>
      </c>
      <c r="E34" s="397">
        <v>15.5</v>
      </c>
      <c r="F34" s="397">
        <v>10.7</v>
      </c>
      <c r="G34" s="397">
        <v>14.1</v>
      </c>
      <c r="H34" s="397">
        <v>20.5</v>
      </c>
      <c r="I34" s="745"/>
    </row>
    <row r="35" spans="1:11" ht="47.25" customHeight="1">
      <c r="A35" s="394"/>
      <c r="B35" s="400" t="s">
        <v>587</v>
      </c>
      <c r="C35" s="462"/>
      <c r="D35" s="396">
        <f t="shared" si="4"/>
        <v>20.2</v>
      </c>
      <c r="E35" s="397">
        <v>5</v>
      </c>
      <c r="F35" s="397">
        <v>5</v>
      </c>
      <c r="G35" s="397">
        <v>5.0999999999999996</v>
      </c>
      <c r="H35" s="397">
        <v>5.0999999999999996</v>
      </c>
      <c r="I35" s="745"/>
    </row>
    <row r="36" spans="1:11" ht="43.5" customHeight="1">
      <c r="A36" s="394"/>
      <c r="B36" s="400" t="s">
        <v>589</v>
      </c>
      <c r="C36" s="462"/>
      <c r="D36" s="396">
        <f t="shared" si="4"/>
        <v>38.5</v>
      </c>
      <c r="E36" s="397">
        <v>15.3</v>
      </c>
      <c r="F36" s="397">
        <v>5.6</v>
      </c>
      <c r="G36" s="397">
        <f>11.6-2.5</f>
        <v>9.1</v>
      </c>
      <c r="H36" s="397">
        <v>8.5</v>
      </c>
      <c r="I36" s="745"/>
    </row>
    <row r="37" spans="1:11" ht="28.5" customHeight="1">
      <c r="A37" s="384"/>
      <c r="B37" s="395" t="s">
        <v>590</v>
      </c>
      <c r="C37" s="385"/>
      <c r="D37" s="396">
        <f t="shared" si="4"/>
        <v>3.3</v>
      </c>
      <c r="E37" s="397">
        <v>3.3</v>
      </c>
      <c r="F37" s="397"/>
      <c r="G37" s="397"/>
      <c r="H37" s="397"/>
      <c r="I37" s="745"/>
    </row>
    <row r="38" spans="1:11" ht="28.5" customHeight="1">
      <c r="A38" s="384"/>
      <c r="B38" s="395" t="s">
        <v>595</v>
      </c>
      <c r="C38" s="385"/>
      <c r="D38" s="396">
        <f t="shared" si="4"/>
        <v>11.4</v>
      </c>
      <c r="E38" s="397"/>
      <c r="F38" s="397">
        <v>11.4</v>
      </c>
      <c r="G38" s="397"/>
      <c r="H38" s="397"/>
      <c r="I38" s="745"/>
    </row>
    <row r="39" spans="1:11" ht="28.5" customHeight="1">
      <c r="A39" s="384"/>
      <c r="B39" s="395" t="s">
        <v>583</v>
      </c>
      <c r="C39" s="385"/>
      <c r="D39" s="396">
        <f t="shared" si="4"/>
        <v>9.8000000000000007</v>
      </c>
      <c r="E39" s="397"/>
      <c r="F39" s="397"/>
      <c r="G39" s="397">
        <v>9.8000000000000007</v>
      </c>
      <c r="H39" s="397"/>
      <c r="I39" s="745"/>
    </row>
    <row r="40" spans="1:11" ht="28.5" customHeight="1">
      <c r="A40" s="384"/>
      <c r="B40" s="395" t="s">
        <v>697</v>
      </c>
      <c r="C40" s="385"/>
      <c r="D40" s="396">
        <f t="shared" si="4"/>
        <v>3.5</v>
      </c>
      <c r="E40" s="397"/>
      <c r="F40" s="397">
        <v>1</v>
      </c>
      <c r="G40" s="397">
        <v>2.5</v>
      </c>
      <c r="H40" s="397"/>
      <c r="I40" s="745"/>
      <c r="K40" s="750"/>
    </row>
    <row r="41" spans="1:11" ht="30" customHeight="1">
      <c r="A41" s="389" t="s">
        <v>543</v>
      </c>
      <c r="B41" s="401" t="s">
        <v>76</v>
      </c>
      <c r="C41" s="402">
        <v>1080</v>
      </c>
      <c r="D41" s="403">
        <f>SUM(D42:D49)</f>
        <v>10466.999999999998</v>
      </c>
      <c r="E41" s="403">
        <f>SUM(E42:E49)</f>
        <v>2508.7000000000003</v>
      </c>
      <c r="F41" s="403">
        <f t="shared" ref="F41:H41" si="6">SUM(F42:F49)</f>
        <v>2878.1999999999994</v>
      </c>
      <c r="G41" s="403">
        <f t="shared" si="6"/>
        <v>2433.6999999999998</v>
      </c>
      <c r="H41" s="403">
        <f t="shared" si="6"/>
        <v>2646.4</v>
      </c>
      <c r="I41" s="745"/>
      <c r="K41" s="750"/>
    </row>
    <row r="42" spans="1:11" ht="28.5" customHeight="1">
      <c r="A42" s="384"/>
      <c r="B42" s="395" t="s">
        <v>698</v>
      </c>
      <c r="C42" s="385"/>
      <c r="D42" s="396">
        <f t="shared" si="4"/>
        <v>209.8</v>
      </c>
      <c r="E42" s="397">
        <v>53.3</v>
      </c>
      <c r="F42" s="397">
        <v>55.2</v>
      </c>
      <c r="G42" s="397">
        <f>46</f>
        <v>46</v>
      </c>
      <c r="H42" s="397">
        <f>55.3</f>
        <v>55.3</v>
      </c>
      <c r="I42" s="745"/>
    </row>
    <row r="43" spans="1:11" ht="28.5" customHeight="1">
      <c r="A43" s="384"/>
      <c r="B43" s="395" t="s">
        <v>699</v>
      </c>
      <c r="C43" s="385"/>
      <c r="D43" s="396">
        <f t="shared" si="4"/>
        <v>48.2</v>
      </c>
      <c r="E43" s="397">
        <v>11.7</v>
      </c>
      <c r="F43" s="397">
        <v>11.6</v>
      </c>
      <c r="G43" s="397">
        <f>12.6</f>
        <v>12.6</v>
      </c>
      <c r="H43" s="397">
        <f>12.3</f>
        <v>12.3</v>
      </c>
      <c r="I43" s="745"/>
    </row>
    <row r="44" spans="1:11" ht="28.5" customHeight="1">
      <c r="A44" s="384"/>
      <c r="B44" s="395" t="s">
        <v>700</v>
      </c>
      <c r="C44" s="385"/>
      <c r="D44" s="396">
        <f t="shared" si="4"/>
        <v>6242.3</v>
      </c>
      <c r="E44" s="397">
        <v>1564.9</v>
      </c>
      <c r="F44" s="397">
        <v>1637.1</v>
      </c>
      <c r="G44" s="397">
        <f>1356.6</f>
        <v>1356.6</v>
      </c>
      <c r="H44" s="397">
        <f>1683.7</f>
        <v>1683.7</v>
      </c>
      <c r="I44" s="745"/>
    </row>
    <row r="45" spans="1:11" ht="28.5" customHeight="1">
      <c r="A45" s="384"/>
      <c r="B45" s="395" t="s">
        <v>701</v>
      </c>
      <c r="C45" s="385"/>
      <c r="D45" s="396">
        <f t="shared" si="4"/>
        <v>1340.6</v>
      </c>
      <c r="E45" s="397">
        <v>341</v>
      </c>
      <c r="F45" s="397">
        <v>347.8</v>
      </c>
      <c r="G45" s="397">
        <f>287.3</f>
        <v>287.3</v>
      </c>
      <c r="H45" s="397">
        <f>364.5</f>
        <v>364.5</v>
      </c>
      <c r="I45" s="745"/>
    </row>
    <row r="46" spans="1:11" ht="28.5" customHeight="1">
      <c r="A46" s="384"/>
      <c r="B46" s="395" t="s">
        <v>702</v>
      </c>
      <c r="C46" s="385"/>
      <c r="D46" s="396">
        <f t="shared" si="4"/>
        <v>361.8</v>
      </c>
      <c r="E46" s="397">
        <v>93.8</v>
      </c>
      <c r="F46" s="397">
        <v>170.5</v>
      </c>
      <c r="G46" s="397">
        <v>82.5</v>
      </c>
      <c r="H46" s="397">
        <v>15</v>
      </c>
      <c r="I46" s="745"/>
    </row>
    <row r="47" spans="1:11" ht="28.5" customHeight="1">
      <c r="A47" s="384"/>
      <c r="B47" s="395" t="s">
        <v>703</v>
      </c>
      <c r="C47" s="385"/>
      <c r="D47" s="396">
        <f t="shared" si="4"/>
        <v>354</v>
      </c>
      <c r="E47" s="397">
        <v>63.2</v>
      </c>
      <c r="F47" s="397">
        <v>96.2</v>
      </c>
      <c r="G47" s="397">
        <v>73.599999999999994</v>
      </c>
      <c r="H47" s="397">
        <v>121</v>
      </c>
      <c r="I47" s="745"/>
    </row>
    <row r="48" spans="1:11" ht="28.5" customHeight="1">
      <c r="A48" s="384"/>
      <c r="B48" s="395" t="s">
        <v>610</v>
      </c>
      <c r="C48" s="385"/>
      <c r="D48" s="396">
        <f t="shared" si="4"/>
        <v>1804.4</v>
      </c>
      <c r="E48" s="397">
        <v>360</v>
      </c>
      <c r="F48" s="397">
        <f>542.6-1</f>
        <v>541.6</v>
      </c>
      <c r="G48" s="397">
        <f>552.1</f>
        <v>552.1</v>
      </c>
      <c r="H48" s="397">
        <v>350.7</v>
      </c>
      <c r="I48" s="745"/>
    </row>
    <row r="49" spans="1:9" ht="28.5" customHeight="1">
      <c r="A49" s="384"/>
      <c r="B49" s="395" t="s">
        <v>704</v>
      </c>
      <c r="C49" s="385"/>
      <c r="D49" s="396">
        <f t="shared" si="4"/>
        <v>105.9</v>
      </c>
      <c r="E49" s="397">
        <v>20.8</v>
      </c>
      <c r="F49" s="397">
        <v>18.2</v>
      </c>
      <c r="G49" s="397">
        <v>23</v>
      </c>
      <c r="H49" s="397">
        <f>43.9</f>
        <v>43.9</v>
      </c>
      <c r="I49" s="745"/>
    </row>
    <row r="50" spans="1:9" ht="50.25" customHeight="1">
      <c r="A50" s="384" t="s">
        <v>458</v>
      </c>
      <c r="B50" s="736" t="s">
        <v>686</v>
      </c>
      <c r="C50" s="404"/>
      <c r="D50" s="386">
        <f>E50+F50+G50+H50</f>
        <v>8248</v>
      </c>
      <c r="E50" s="405">
        <f>E51+E64</f>
        <v>1951.9</v>
      </c>
      <c r="F50" s="405">
        <f>F51+F64</f>
        <v>1325.6999999999998</v>
      </c>
      <c r="G50" s="405">
        <f>G51+G64</f>
        <v>1702.1999999999998</v>
      </c>
      <c r="H50" s="405">
        <f>H51+H64</f>
        <v>3268.2</v>
      </c>
      <c r="I50" s="396"/>
    </row>
    <row r="51" spans="1:9" ht="31.5" customHeight="1">
      <c r="A51" s="389" t="s">
        <v>544</v>
      </c>
      <c r="B51" s="407" t="s">
        <v>475</v>
      </c>
      <c r="C51" s="408">
        <v>1030</v>
      </c>
      <c r="D51" s="392">
        <f>E51+F51+G51+H51</f>
        <v>5419.7</v>
      </c>
      <c r="E51" s="403">
        <f>SUM(E52:E52)</f>
        <v>1578.8</v>
      </c>
      <c r="F51" s="403">
        <f>SUM(F52:F52)</f>
        <v>700.69999999999993</v>
      </c>
      <c r="G51" s="403">
        <f>SUM(G52:G52)</f>
        <v>1310.3</v>
      </c>
      <c r="H51" s="403">
        <f>SUM(H52:H52)</f>
        <v>1829.8999999999999</v>
      </c>
      <c r="I51" s="396"/>
    </row>
    <row r="52" spans="1:9" ht="29.25" customHeight="1">
      <c r="A52" s="394" t="s">
        <v>481</v>
      </c>
      <c r="B52" s="459" t="s">
        <v>477</v>
      </c>
      <c r="C52" s="404">
        <v>1051</v>
      </c>
      <c r="D52" s="386">
        <f>E52+F52+G52+H52</f>
        <v>5419.7</v>
      </c>
      <c r="E52" s="405">
        <f>SUM(E53:E63)</f>
        <v>1578.8</v>
      </c>
      <c r="F52" s="405">
        <f>SUM(F53:F63)</f>
        <v>700.69999999999993</v>
      </c>
      <c r="G52" s="405">
        <f>SUM(G53:G63)</f>
        <v>1310.3</v>
      </c>
      <c r="H52" s="405">
        <f>SUM(H53:H63)</f>
        <v>1829.8999999999999</v>
      </c>
      <c r="I52" s="396"/>
    </row>
    <row r="53" spans="1:9" ht="28.5" customHeight="1">
      <c r="A53" s="384"/>
      <c r="B53" s="395" t="s">
        <v>592</v>
      </c>
      <c r="C53" s="385"/>
      <c r="D53" s="396">
        <f t="shared" ref="D53:D63" si="7">E53+F53+G53+H53</f>
        <v>411.8</v>
      </c>
      <c r="E53" s="397"/>
      <c r="F53" s="397">
        <v>163.9</v>
      </c>
      <c r="G53" s="397">
        <v>136.1</v>
      </c>
      <c r="H53" s="397">
        <v>111.8</v>
      </c>
      <c r="I53" s="745"/>
    </row>
    <row r="54" spans="1:9" ht="28.5" customHeight="1">
      <c r="A54" s="384"/>
      <c r="B54" s="395" t="s">
        <v>593</v>
      </c>
      <c r="C54" s="385"/>
      <c r="D54" s="396">
        <f t="shared" si="7"/>
        <v>20.6</v>
      </c>
      <c r="E54" s="397">
        <v>12.8</v>
      </c>
      <c r="F54" s="397">
        <v>1.4</v>
      </c>
      <c r="G54" s="397">
        <v>6.4</v>
      </c>
      <c r="H54" s="397"/>
      <c r="I54" s="745"/>
    </row>
    <row r="55" spans="1:9" ht="28.5" customHeight="1">
      <c r="A55" s="384"/>
      <c r="B55" s="395" t="s">
        <v>584</v>
      </c>
      <c r="C55" s="385"/>
      <c r="D55" s="396">
        <f t="shared" si="7"/>
        <v>134.80000000000001</v>
      </c>
      <c r="E55" s="397"/>
      <c r="F55" s="397">
        <v>31.3</v>
      </c>
      <c r="G55" s="397"/>
      <c r="H55" s="397">
        <f>76.7+26.6+0.2</f>
        <v>103.50000000000001</v>
      </c>
      <c r="I55" s="745"/>
    </row>
    <row r="56" spans="1:9" ht="39" customHeight="1">
      <c r="A56" s="384"/>
      <c r="B56" s="399" t="s">
        <v>589</v>
      </c>
      <c r="C56" s="385"/>
      <c r="D56" s="396">
        <f t="shared" si="7"/>
        <v>1.2</v>
      </c>
      <c r="E56" s="397"/>
      <c r="F56" s="397"/>
      <c r="G56" s="397"/>
      <c r="H56" s="397">
        <v>1.2</v>
      </c>
      <c r="I56" s="745"/>
    </row>
    <row r="57" spans="1:9" ht="28.5" customHeight="1">
      <c r="A57" s="384"/>
      <c r="B57" s="395" t="s">
        <v>478</v>
      </c>
      <c r="C57" s="385"/>
      <c r="D57" s="396">
        <f>E57+F57+G57+H57</f>
        <v>2776</v>
      </c>
      <c r="E57" s="397">
        <v>1179.5</v>
      </c>
      <c r="F57" s="397">
        <v>165.4</v>
      </c>
      <c r="G57" s="397">
        <v>122.5</v>
      </c>
      <c r="H57" s="397">
        <v>1308.5999999999999</v>
      </c>
      <c r="I57" s="745"/>
    </row>
    <row r="58" spans="1:9" ht="28.5" customHeight="1">
      <c r="A58" s="384"/>
      <c r="B58" s="395" t="s">
        <v>479</v>
      </c>
      <c r="C58" s="385"/>
      <c r="D58" s="396">
        <f t="shared" si="7"/>
        <v>282.60000000000002</v>
      </c>
      <c r="E58" s="397">
        <v>67.7</v>
      </c>
      <c r="F58" s="397">
        <v>74.3</v>
      </c>
      <c r="G58" s="397">
        <v>66</v>
      </c>
      <c r="H58" s="397">
        <v>74.599999999999994</v>
      </c>
      <c r="I58" s="745"/>
    </row>
    <row r="59" spans="1:9" ht="28.5" customHeight="1">
      <c r="A59" s="384"/>
      <c r="B59" s="395" t="s">
        <v>480</v>
      </c>
      <c r="C59" s="385"/>
      <c r="D59" s="396">
        <f t="shared" si="7"/>
        <v>1009.5</v>
      </c>
      <c r="E59" s="397">
        <v>299.8</v>
      </c>
      <c r="F59" s="397">
        <v>234.5</v>
      </c>
      <c r="G59" s="397">
        <v>274.5</v>
      </c>
      <c r="H59" s="397">
        <v>200.7</v>
      </c>
      <c r="I59" s="745"/>
    </row>
    <row r="60" spans="1:9" ht="28.5" customHeight="1">
      <c r="A60" s="384"/>
      <c r="B60" s="395" t="s">
        <v>507</v>
      </c>
      <c r="C60" s="385"/>
      <c r="D60" s="396">
        <f t="shared" si="7"/>
        <v>0</v>
      </c>
      <c r="E60" s="397"/>
      <c r="F60" s="397"/>
      <c r="G60" s="397"/>
      <c r="H60" s="397"/>
      <c r="I60" s="745"/>
    </row>
    <row r="61" spans="1:9" ht="28.5" customHeight="1">
      <c r="A61" s="384"/>
      <c r="B61" s="395" t="s">
        <v>485</v>
      </c>
      <c r="C61" s="385"/>
      <c r="D61" s="396">
        <f t="shared" si="7"/>
        <v>95.4</v>
      </c>
      <c r="E61" s="397">
        <v>19</v>
      </c>
      <c r="F61" s="397">
        <v>29.9</v>
      </c>
      <c r="G61" s="397">
        <v>27.9</v>
      </c>
      <c r="H61" s="397">
        <v>18.600000000000001</v>
      </c>
      <c r="I61" s="745"/>
    </row>
    <row r="62" spans="1:9" ht="45" customHeight="1">
      <c r="A62" s="461"/>
      <c r="B62" s="400" t="s">
        <v>679</v>
      </c>
      <c r="C62" s="461"/>
      <c r="D62" s="396">
        <f t="shared" si="7"/>
        <v>326</v>
      </c>
      <c r="E62" s="406"/>
      <c r="F62" s="406"/>
      <c r="G62" s="406">
        <v>315.5</v>
      </c>
      <c r="H62" s="406">
        <v>10.5</v>
      </c>
      <c r="I62" s="396"/>
    </row>
    <row r="63" spans="1:9" ht="56.25">
      <c r="A63" s="461"/>
      <c r="B63" s="400" t="s">
        <v>596</v>
      </c>
      <c r="C63" s="461"/>
      <c r="D63" s="396">
        <f t="shared" si="7"/>
        <v>361.79999999999995</v>
      </c>
      <c r="E63" s="406"/>
      <c r="F63" s="406"/>
      <c r="G63" s="406">
        <v>361.4</v>
      </c>
      <c r="H63" s="406">
        <v>0.4</v>
      </c>
      <c r="I63" s="396"/>
    </row>
    <row r="64" spans="1:9" ht="31.5" customHeight="1">
      <c r="A64" s="408" t="s">
        <v>545</v>
      </c>
      <c r="B64" s="410" t="s">
        <v>28</v>
      </c>
      <c r="C64" s="408">
        <v>1080</v>
      </c>
      <c r="D64" s="392">
        <f t="shared" ref="D64:D71" si="8">E64+F64+G64+H64</f>
        <v>2828.3</v>
      </c>
      <c r="E64" s="403">
        <f>SUM(E65:E71)</f>
        <v>373.1</v>
      </c>
      <c r="F64" s="403">
        <f t="shared" ref="F64:H64" si="9">SUM(F65:F71)</f>
        <v>625</v>
      </c>
      <c r="G64" s="403">
        <f t="shared" si="9"/>
        <v>391.9</v>
      </c>
      <c r="H64" s="403">
        <f t="shared" si="9"/>
        <v>1438.3000000000002</v>
      </c>
      <c r="I64" s="396"/>
    </row>
    <row r="65" spans="1:9" ht="28.5" customHeight="1">
      <c r="A65" s="384"/>
      <c r="B65" s="395" t="s">
        <v>478</v>
      </c>
      <c r="C65" s="385"/>
      <c r="D65" s="396">
        <f t="shared" si="8"/>
        <v>80.3</v>
      </c>
      <c r="E65" s="397">
        <v>48</v>
      </c>
      <c r="F65" s="397">
        <v>1.1000000000000001</v>
      </c>
      <c r="G65" s="397">
        <v>4.4000000000000004</v>
      </c>
      <c r="H65" s="397">
        <v>26.8</v>
      </c>
      <c r="I65" s="745"/>
    </row>
    <row r="66" spans="1:9" ht="28.5" customHeight="1">
      <c r="A66" s="384"/>
      <c r="B66" s="395" t="s">
        <v>479</v>
      </c>
      <c r="C66" s="385"/>
      <c r="D66" s="396">
        <f t="shared" si="8"/>
        <v>3.9000000000000004</v>
      </c>
      <c r="E66" s="397">
        <v>0.7</v>
      </c>
      <c r="F66" s="397">
        <v>0.9</v>
      </c>
      <c r="G66" s="397">
        <v>0.8</v>
      </c>
      <c r="H66" s="397">
        <v>1.5</v>
      </c>
      <c r="I66" s="745"/>
    </row>
    <row r="67" spans="1:9" ht="28.5" customHeight="1">
      <c r="A67" s="384"/>
      <c r="B67" s="395" t="s">
        <v>480</v>
      </c>
      <c r="C67" s="385"/>
      <c r="D67" s="396">
        <f t="shared" si="8"/>
        <v>67.599999999999994</v>
      </c>
      <c r="E67" s="397">
        <v>9.1999999999999993</v>
      </c>
      <c r="F67" s="397">
        <v>21</v>
      </c>
      <c r="G67" s="397">
        <v>20.100000000000001</v>
      </c>
      <c r="H67" s="397">
        <v>17.3</v>
      </c>
      <c r="I67" s="745"/>
    </row>
    <row r="68" spans="1:9" ht="28.5" customHeight="1">
      <c r="A68" s="384"/>
      <c r="B68" s="395" t="s">
        <v>705</v>
      </c>
      <c r="C68" s="385"/>
      <c r="D68" s="396">
        <f t="shared" si="8"/>
        <v>137.9</v>
      </c>
      <c r="E68" s="397"/>
      <c r="F68" s="397"/>
      <c r="G68" s="397">
        <v>16.7</v>
      </c>
      <c r="H68" s="397">
        <v>121.2</v>
      </c>
      <c r="I68" s="745"/>
    </row>
    <row r="69" spans="1:9" ht="28.5" customHeight="1">
      <c r="A69" s="384"/>
      <c r="B69" s="395" t="s">
        <v>706</v>
      </c>
      <c r="C69" s="385"/>
      <c r="D69" s="396">
        <f t="shared" si="8"/>
        <v>2065.6999999999998</v>
      </c>
      <c r="E69" s="397">
        <v>315.2</v>
      </c>
      <c r="F69" s="397">
        <v>602</v>
      </c>
      <c r="G69" s="397">
        <v>349.9</v>
      </c>
      <c r="H69" s="397">
        <v>798.6</v>
      </c>
      <c r="I69" s="745"/>
    </row>
    <row r="70" spans="1:9" ht="28.5" customHeight="1">
      <c r="A70" s="384"/>
      <c r="B70" s="395" t="s">
        <v>703</v>
      </c>
      <c r="C70" s="385"/>
      <c r="D70" s="396">
        <f t="shared" si="8"/>
        <v>97.5</v>
      </c>
      <c r="E70" s="397"/>
      <c r="F70" s="397"/>
      <c r="G70" s="397"/>
      <c r="H70" s="397">
        <v>97.5</v>
      </c>
      <c r="I70" s="745"/>
    </row>
    <row r="71" spans="1:9" ht="28.5" customHeight="1">
      <c r="A71" s="384"/>
      <c r="B71" s="395" t="s">
        <v>597</v>
      </c>
      <c r="C71" s="385"/>
      <c r="D71" s="396">
        <f t="shared" si="8"/>
        <v>375.4</v>
      </c>
      <c r="E71" s="397"/>
      <c r="F71" s="397"/>
      <c r="G71" s="397"/>
      <c r="H71" s="397">
        <f>129.4+20+226</f>
        <v>375.4</v>
      </c>
      <c r="I71" s="745"/>
    </row>
    <row r="72" spans="1:9" ht="50.25" customHeight="1">
      <c r="A72" s="404">
        <v>3</v>
      </c>
      <c r="B72" s="460" t="s">
        <v>742</v>
      </c>
      <c r="C72" s="404"/>
      <c r="D72" s="386">
        <f t="shared" ref="D72:D97" si="10">SUM(E72:H72)</f>
        <v>929.6</v>
      </c>
      <c r="E72" s="405">
        <f>E73+E104</f>
        <v>210.6</v>
      </c>
      <c r="F72" s="405">
        <f t="shared" ref="F72:H72" si="11">F73+F104</f>
        <v>175.79999999999998</v>
      </c>
      <c r="G72" s="405">
        <f t="shared" si="11"/>
        <v>327.60000000000002</v>
      </c>
      <c r="H72" s="405">
        <f t="shared" si="11"/>
        <v>215.60000000000002</v>
      </c>
      <c r="I72" s="396"/>
    </row>
    <row r="73" spans="1:9" ht="28.5" customHeight="1">
      <c r="A73" s="412" t="s">
        <v>544</v>
      </c>
      <c r="B73" s="413" t="s">
        <v>119</v>
      </c>
      <c r="C73" s="404">
        <v>1030</v>
      </c>
      <c r="D73" s="386">
        <f t="shared" si="10"/>
        <v>797.00000000000011</v>
      </c>
      <c r="E73" s="405">
        <f>E74+E76</f>
        <v>119.8</v>
      </c>
      <c r="F73" s="405">
        <f t="shared" ref="F73:H73" si="12">F74+F76</f>
        <v>161.89999999999998</v>
      </c>
      <c r="G73" s="405">
        <f t="shared" si="12"/>
        <v>300.20000000000005</v>
      </c>
      <c r="H73" s="405">
        <f t="shared" si="12"/>
        <v>215.10000000000002</v>
      </c>
      <c r="I73" s="396"/>
    </row>
    <row r="74" spans="1:9" ht="28.5" customHeight="1">
      <c r="A74" s="404" t="s">
        <v>744</v>
      </c>
      <c r="B74" s="414" t="s">
        <v>467</v>
      </c>
      <c r="C74" s="404">
        <v>1037</v>
      </c>
      <c r="D74" s="386">
        <f t="shared" si="10"/>
        <v>0.1</v>
      </c>
      <c r="E74" s="405">
        <f>E75</f>
        <v>0.1</v>
      </c>
      <c r="F74" s="405">
        <f>F75</f>
        <v>0</v>
      </c>
      <c r="G74" s="405">
        <f>G75</f>
        <v>0</v>
      </c>
      <c r="H74" s="405">
        <f>H75</f>
        <v>0</v>
      </c>
      <c r="I74" s="396"/>
    </row>
    <row r="75" spans="1:9" ht="28.5" customHeight="1">
      <c r="A75" s="404"/>
      <c r="B75" s="415" t="s">
        <v>468</v>
      </c>
      <c r="C75" s="404"/>
      <c r="D75" s="396">
        <f t="shared" si="10"/>
        <v>0.1</v>
      </c>
      <c r="E75" s="406">
        <v>0.1</v>
      </c>
      <c r="F75" s="406"/>
      <c r="G75" s="406"/>
      <c r="H75" s="406"/>
      <c r="I75" s="396"/>
    </row>
    <row r="76" spans="1:9" ht="28.5" customHeight="1">
      <c r="A76" s="404" t="s">
        <v>545</v>
      </c>
      <c r="B76" s="416" t="s">
        <v>469</v>
      </c>
      <c r="C76" s="404">
        <v>1051</v>
      </c>
      <c r="D76" s="386">
        <f t="shared" si="10"/>
        <v>796.9</v>
      </c>
      <c r="E76" s="405">
        <f>SUM(E77:E103)</f>
        <v>119.7</v>
      </c>
      <c r="F76" s="405">
        <f t="shared" ref="F76:H76" si="13">SUM(F77:F103)</f>
        <v>161.89999999999998</v>
      </c>
      <c r="G76" s="405">
        <f t="shared" si="13"/>
        <v>300.20000000000005</v>
      </c>
      <c r="H76" s="405">
        <f t="shared" si="13"/>
        <v>215.10000000000002</v>
      </c>
      <c r="I76" s="396"/>
    </row>
    <row r="77" spans="1:9" ht="28.5" customHeight="1">
      <c r="A77" s="394"/>
      <c r="B77" s="417" t="s">
        <v>592</v>
      </c>
      <c r="C77" s="461"/>
      <c r="D77" s="396">
        <f t="shared" si="10"/>
        <v>186.89999999999998</v>
      </c>
      <c r="E77" s="406">
        <f>67.9-9.1-0.4+19.3</f>
        <v>77.7</v>
      </c>
      <c r="F77" s="406">
        <f>32.1+21.6-4</f>
        <v>49.7</v>
      </c>
      <c r="G77" s="406">
        <f>20+0.7</f>
        <v>20.7</v>
      </c>
      <c r="H77" s="406">
        <f>6.2+29.3+4-0.7</f>
        <v>38.799999999999997</v>
      </c>
      <c r="I77" s="396"/>
    </row>
    <row r="78" spans="1:9" ht="28.5" customHeight="1">
      <c r="A78" s="394"/>
      <c r="B78" s="417" t="s">
        <v>593</v>
      </c>
      <c r="C78" s="461"/>
      <c r="D78" s="396">
        <f t="shared" si="10"/>
        <v>3</v>
      </c>
      <c r="E78" s="406"/>
      <c r="F78" s="406"/>
      <c r="G78" s="406"/>
      <c r="H78" s="406">
        <v>3</v>
      </c>
      <c r="I78" s="396"/>
    </row>
    <row r="79" spans="1:9" ht="28.5" customHeight="1">
      <c r="A79" s="394"/>
      <c r="B79" s="417" t="s">
        <v>721</v>
      </c>
      <c r="C79" s="461"/>
      <c r="D79" s="396">
        <f t="shared" si="10"/>
        <v>42.199999999999996</v>
      </c>
      <c r="E79" s="406"/>
      <c r="F79" s="406"/>
      <c r="G79" s="406"/>
      <c r="H79" s="406">
        <f>42.8-0.6</f>
        <v>42.199999999999996</v>
      </c>
      <c r="I79" s="396"/>
    </row>
    <row r="80" spans="1:9" ht="28.5" customHeight="1">
      <c r="A80" s="394"/>
      <c r="B80" s="417" t="s">
        <v>722</v>
      </c>
      <c r="C80" s="461"/>
      <c r="D80" s="396">
        <f t="shared" si="10"/>
        <v>2.1</v>
      </c>
      <c r="E80" s="406"/>
      <c r="F80" s="406">
        <v>2.1</v>
      </c>
      <c r="G80" s="406"/>
      <c r="H80" s="406"/>
      <c r="I80" s="396"/>
    </row>
    <row r="81" spans="1:9" ht="28.5" customHeight="1">
      <c r="A81" s="394"/>
      <c r="B81" s="417" t="s">
        <v>709</v>
      </c>
      <c r="C81" s="461"/>
      <c r="D81" s="396">
        <f t="shared" si="10"/>
        <v>24.6</v>
      </c>
      <c r="E81" s="406">
        <v>5.2</v>
      </c>
      <c r="F81" s="406">
        <v>9.9</v>
      </c>
      <c r="G81" s="406"/>
      <c r="H81" s="406">
        <v>9.5</v>
      </c>
      <c r="I81" s="396"/>
    </row>
    <row r="82" spans="1:9" ht="28.5" customHeight="1">
      <c r="A82" s="394"/>
      <c r="B82" s="417" t="s">
        <v>710</v>
      </c>
      <c r="C82" s="461"/>
      <c r="D82" s="396">
        <f t="shared" si="10"/>
        <v>1.5</v>
      </c>
      <c r="E82" s="406"/>
      <c r="F82" s="406">
        <v>0.5</v>
      </c>
      <c r="G82" s="406">
        <v>0.5</v>
      </c>
      <c r="H82" s="406">
        <v>0.5</v>
      </c>
      <c r="I82" s="396"/>
    </row>
    <row r="83" spans="1:9" ht="28.5" customHeight="1">
      <c r="A83" s="404"/>
      <c r="B83" s="400" t="s">
        <v>588</v>
      </c>
      <c r="C83" s="404"/>
      <c r="D83" s="396">
        <f t="shared" si="10"/>
        <v>26.7</v>
      </c>
      <c r="E83" s="406"/>
      <c r="F83" s="406">
        <v>16.5</v>
      </c>
      <c r="G83" s="406"/>
      <c r="H83" s="406">
        <v>10.199999999999999</v>
      </c>
      <c r="I83" s="396"/>
    </row>
    <row r="84" spans="1:9" ht="28.5" customHeight="1">
      <c r="A84" s="404"/>
      <c r="B84" s="400" t="s">
        <v>711</v>
      </c>
      <c r="C84" s="404"/>
      <c r="D84" s="396">
        <f t="shared" si="10"/>
        <v>2.2999999999999998</v>
      </c>
      <c r="E84" s="406"/>
      <c r="F84" s="406"/>
      <c r="G84" s="406">
        <v>0.5</v>
      </c>
      <c r="H84" s="406">
        <v>1.8</v>
      </c>
      <c r="I84" s="396"/>
    </row>
    <row r="85" spans="1:9" ht="36" customHeight="1">
      <c r="A85" s="404"/>
      <c r="B85" s="400" t="s">
        <v>587</v>
      </c>
      <c r="C85" s="404"/>
      <c r="D85" s="396">
        <f t="shared" si="10"/>
        <v>7.4</v>
      </c>
      <c r="E85" s="406"/>
      <c r="F85" s="406">
        <v>2.1</v>
      </c>
      <c r="G85" s="406">
        <v>0.6</v>
      </c>
      <c r="H85" s="406">
        <v>4.7</v>
      </c>
      <c r="I85" s="396"/>
    </row>
    <row r="86" spans="1:9" ht="28.5" customHeight="1">
      <c r="A86" s="394"/>
      <c r="B86" s="417" t="s">
        <v>712</v>
      </c>
      <c r="C86" s="461"/>
      <c r="D86" s="396">
        <f t="shared" si="10"/>
        <v>0.4</v>
      </c>
      <c r="E86" s="406"/>
      <c r="F86" s="406">
        <v>0.2</v>
      </c>
      <c r="G86" s="406"/>
      <c r="H86" s="406">
        <v>0.2</v>
      </c>
      <c r="I86" s="396"/>
    </row>
    <row r="87" spans="1:9" ht="28.5" customHeight="1">
      <c r="A87" s="394"/>
      <c r="B87" s="417" t="s">
        <v>613</v>
      </c>
      <c r="C87" s="461"/>
      <c r="D87" s="396">
        <f t="shared" si="10"/>
        <v>56.9</v>
      </c>
      <c r="E87" s="406">
        <v>5</v>
      </c>
      <c r="F87" s="406">
        <v>5</v>
      </c>
      <c r="G87" s="406">
        <f>3.5+5</f>
        <v>8.5</v>
      </c>
      <c r="H87" s="406">
        <f>33.4+5</f>
        <v>38.4</v>
      </c>
      <c r="I87" s="396"/>
    </row>
    <row r="88" spans="1:9" ht="28.5" customHeight="1">
      <c r="A88" s="404"/>
      <c r="B88" s="400" t="s">
        <v>713</v>
      </c>
      <c r="C88" s="404"/>
      <c r="D88" s="396">
        <f t="shared" si="10"/>
        <v>198.2</v>
      </c>
      <c r="E88" s="406">
        <v>30</v>
      </c>
      <c r="F88" s="406">
        <f>21.5+25</f>
        <v>46.5</v>
      </c>
      <c r="G88" s="406">
        <f>79.1+11.8</f>
        <v>90.899999999999991</v>
      </c>
      <c r="H88" s="406">
        <v>30.8</v>
      </c>
      <c r="I88" s="396"/>
    </row>
    <row r="89" spans="1:9" ht="28.5" customHeight="1">
      <c r="A89" s="404"/>
      <c r="B89" s="400" t="s">
        <v>714</v>
      </c>
      <c r="C89" s="404"/>
      <c r="D89" s="396">
        <f t="shared" si="10"/>
        <v>0.7</v>
      </c>
      <c r="E89" s="406"/>
      <c r="F89" s="406">
        <v>0.7</v>
      </c>
      <c r="G89" s="406"/>
      <c r="H89" s="406"/>
      <c r="I89" s="396"/>
    </row>
    <row r="90" spans="1:9" ht="28.5" customHeight="1">
      <c r="A90" s="404"/>
      <c r="B90" s="400" t="s">
        <v>715</v>
      </c>
      <c r="C90" s="404"/>
      <c r="D90" s="396">
        <f t="shared" si="10"/>
        <v>1.7999999999999998</v>
      </c>
      <c r="E90" s="406"/>
      <c r="F90" s="406">
        <v>0.6</v>
      </c>
      <c r="G90" s="406">
        <v>0.6</v>
      </c>
      <c r="H90" s="406">
        <v>0.6</v>
      </c>
      <c r="I90" s="396"/>
    </row>
    <row r="91" spans="1:9" ht="28.5" customHeight="1">
      <c r="A91" s="404"/>
      <c r="B91" s="400" t="s">
        <v>723</v>
      </c>
      <c r="C91" s="404"/>
      <c r="D91" s="396">
        <f t="shared" si="10"/>
        <v>15</v>
      </c>
      <c r="E91" s="406"/>
      <c r="F91" s="406">
        <v>15</v>
      </c>
      <c r="G91" s="406"/>
      <c r="H91" s="406"/>
      <c r="I91" s="396"/>
    </row>
    <row r="92" spans="1:9" ht="28.5" customHeight="1">
      <c r="A92" s="418"/>
      <c r="B92" s="419" t="s">
        <v>598</v>
      </c>
      <c r="C92" s="404"/>
      <c r="D92" s="396">
        <f t="shared" si="10"/>
        <v>19</v>
      </c>
      <c r="E92" s="406"/>
      <c r="F92" s="406"/>
      <c r="G92" s="406">
        <v>19</v>
      </c>
      <c r="H92" s="406"/>
      <c r="I92" s="396"/>
    </row>
    <row r="93" spans="1:9" ht="28.5" customHeight="1">
      <c r="A93" s="418"/>
      <c r="B93" s="400" t="s">
        <v>724</v>
      </c>
      <c r="C93" s="404"/>
      <c r="D93" s="396">
        <f t="shared" si="10"/>
        <v>6.6</v>
      </c>
      <c r="E93" s="406"/>
      <c r="F93" s="406"/>
      <c r="G93" s="406">
        <v>6.6</v>
      </c>
      <c r="H93" s="406"/>
      <c r="I93" s="396"/>
    </row>
    <row r="94" spans="1:9" ht="28.5" customHeight="1">
      <c r="A94" s="418"/>
      <c r="B94" s="400" t="s">
        <v>725</v>
      </c>
      <c r="C94" s="404"/>
      <c r="D94" s="396">
        <f t="shared" si="10"/>
        <v>0.3</v>
      </c>
      <c r="E94" s="406"/>
      <c r="F94" s="406"/>
      <c r="G94" s="406">
        <v>0.3</v>
      </c>
      <c r="H94" s="406"/>
      <c r="I94" s="396"/>
    </row>
    <row r="95" spans="1:9" ht="28.5" customHeight="1">
      <c r="A95" s="418"/>
      <c r="B95" s="400" t="s">
        <v>726</v>
      </c>
      <c r="C95" s="404"/>
      <c r="D95" s="396">
        <f t="shared" si="10"/>
        <v>4.4000000000000004</v>
      </c>
      <c r="E95" s="406"/>
      <c r="F95" s="406"/>
      <c r="G95" s="406">
        <v>4.4000000000000004</v>
      </c>
      <c r="H95" s="406"/>
      <c r="I95" s="396"/>
    </row>
    <row r="96" spans="1:9" ht="28.5" customHeight="1">
      <c r="A96" s="418"/>
      <c r="B96" s="400" t="s">
        <v>727</v>
      </c>
      <c r="C96" s="404"/>
      <c r="D96" s="396">
        <f t="shared" si="10"/>
        <v>145</v>
      </c>
      <c r="E96" s="406"/>
      <c r="F96" s="406"/>
      <c r="G96" s="406">
        <f>189.8-44.8</f>
        <v>145</v>
      </c>
      <c r="H96" s="406"/>
      <c r="I96" s="396"/>
    </row>
    <row r="97" spans="1:9" ht="28.5" customHeight="1">
      <c r="A97" s="420"/>
      <c r="B97" s="201" t="s">
        <v>728</v>
      </c>
      <c r="C97" s="404"/>
      <c r="D97" s="396">
        <f t="shared" si="10"/>
        <v>8.6999999999999993</v>
      </c>
      <c r="E97" s="406"/>
      <c r="F97" s="406"/>
      <c r="G97" s="406"/>
      <c r="H97" s="406">
        <v>8.6999999999999993</v>
      </c>
      <c r="I97" s="396"/>
    </row>
    <row r="98" spans="1:9" ht="28.5" customHeight="1">
      <c r="A98" s="421"/>
      <c r="B98" s="395" t="s">
        <v>478</v>
      </c>
      <c r="C98" s="385"/>
      <c r="D98" s="396">
        <f t="shared" ref="D98:D103" si="14">SUM(E98:H98)</f>
        <v>1.3</v>
      </c>
      <c r="E98" s="397">
        <v>1.3</v>
      </c>
      <c r="F98" s="397"/>
      <c r="G98" s="397"/>
      <c r="H98" s="397"/>
      <c r="I98" s="396"/>
    </row>
    <row r="99" spans="1:9" ht="28.5" customHeight="1">
      <c r="A99" s="421"/>
      <c r="B99" s="395" t="s">
        <v>479</v>
      </c>
      <c r="C99" s="385"/>
      <c r="D99" s="396">
        <f t="shared" si="14"/>
        <v>5.4</v>
      </c>
      <c r="E99" s="397"/>
      <c r="F99" s="397"/>
      <c r="G99" s="397">
        <v>1.5</v>
      </c>
      <c r="H99" s="397">
        <v>3.9</v>
      </c>
      <c r="I99" s="396"/>
    </row>
    <row r="100" spans="1:9" ht="28.5" customHeight="1">
      <c r="A100" s="421"/>
      <c r="B100" s="395" t="s">
        <v>480</v>
      </c>
      <c r="C100" s="385"/>
      <c r="D100" s="396">
        <f t="shared" si="14"/>
        <v>5.3</v>
      </c>
      <c r="E100" s="397">
        <v>0.2</v>
      </c>
      <c r="F100" s="397">
        <v>5.0999999999999996</v>
      </c>
      <c r="G100" s="397"/>
      <c r="H100" s="397"/>
      <c r="I100" s="396"/>
    </row>
    <row r="101" spans="1:9" ht="28.5" customHeight="1">
      <c r="A101" s="421"/>
      <c r="B101" s="395" t="s">
        <v>708</v>
      </c>
      <c r="C101" s="385"/>
      <c r="D101" s="396">
        <f t="shared" si="14"/>
        <v>2.4</v>
      </c>
      <c r="E101" s="397">
        <v>0.3</v>
      </c>
      <c r="F101" s="397">
        <v>0.4</v>
      </c>
      <c r="G101" s="397">
        <v>1.1000000000000001</v>
      </c>
      <c r="H101" s="397">
        <v>0.6</v>
      </c>
      <c r="I101" s="396"/>
    </row>
    <row r="102" spans="1:9" ht="28.5" customHeight="1">
      <c r="A102" s="421"/>
      <c r="B102" s="455" t="s">
        <v>750</v>
      </c>
      <c r="C102" s="385"/>
      <c r="D102" s="396">
        <f t="shared" si="14"/>
        <v>23.3</v>
      </c>
      <c r="E102" s="397"/>
      <c r="F102" s="397">
        <v>7</v>
      </c>
      <c r="G102" s="397"/>
      <c r="H102" s="397">
        <v>16.3</v>
      </c>
      <c r="I102" s="396"/>
    </row>
    <row r="103" spans="1:9" ht="28.5" customHeight="1">
      <c r="A103" s="421"/>
      <c r="B103" s="455" t="s">
        <v>751</v>
      </c>
      <c r="C103" s="385"/>
      <c r="D103" s="396">
        <f t="shared" si="14"/>
        <v>5.5</v>
      </c>
      <c r="E103" s="397"/>
      <c r="F103" s="397">
        <v>0.6</v>
      </c>
      <c r="G103" s="397"/>
      <c r="H103" s="397">
        <v>4.9000000000000004</v>
      </c>
      <c r="I103" s="396"/>
    </row>
    <row r="104" spans="1:9" ht="28.5" customHeight="1">
      <c r="A104" s="422"/>
      <c r="B104" s="422" t="s">
        <v>76</v>
      </c>
      <c r="C104" s="404">
        <v>1080</v>
      </c>
      <c r="D104" s="386">
        <f>SUM(E104:H104)</f>
        <v>132.6</v>
      </c>
      <c r="E104" s="405">
        <f>SUM(E105:E108)</f>
        <v>90.8</v>
      </c>
      <c r="F104" s="405">
        <f t="shared" ref="F104:H104" si="15">SUM(F105:F108)</f>
        <v>13.9</v>
      </c>
      <c r="G104" s="405">
        <f t="shared" si="15"/>
        <v>27.4</v>
      </c>
      <c r="H104" s="405">
        <f t="shared" si="15"/>
        <v>0.5</v>
      </c>
      <c r="I104" s="396"/>
    </row>
    <row r="105" spans="1:9" ht="28.5" customHeight="1">
      <c r="A105" s="423"/>
      <c r="B105" s="201" t="s">
        <v>592</v>
      </c>
      <c r="C105" s="404"/>
      <c r="D105" s="396">
        <f>SUM(E105:H105)</f>
        <v>90.8</v>
      </c>
      <c r="E105" s="406">
        <v>90.8</v>
      </c>
      <c r="F105" s="406"/>
      <c r="G105" s="406"/>
      <c r="H105" s="406"/>
      <c r="I105" s="396"/>
    </row>
    <row r="106" spans="1:9" ht="28.5" customHeight="1">
      <c r="A106" s="420"/>
      <c r="B106" s="201" t="s">
        <v>696</v>
      </c>
      <c r="C106" s="404"/>
      <c r="D106" s="396">
        <f>SUM(E106:H106)</f>
        <v>13</v>
      </c>
      <c r="E106" s="406"/>
      <c r="F106" s="406"/>
      <c r="G106" s="406">
        <v>13</v>
      </c>
      <c r="H106" s="406"/>
      <c r="I106" s="396"/>
    </row>
    <row r="107" spans="1:9" ht="28.5" customHeight="1">
      <c r="A107" s="420"/>
      <c r="B107" s="201" t="s">
        <v>703</v>
      </c>
      <c r="C107" s="404"/>
      <c r="D107" s="396">
        <f>SUM(E107:H107)</f>
        <v>28.3</v>
      </c>
      <c r="E107" s="406"/>
      <c r="F107" s="406">
        <f>29.8-15.9</f>
        <v>13.9</v>
      </c>
      <c r="G107" s="406">
        <v>14.4</v>
      </c>
      <c r="H107" s="406"/>
      <c r="I107" s="396"/>
    </row>
    <row r="108" spans="1:9" ht="28.5" customHeight="1">
      <c r="A108" s="420"/>
      <c r="B108" s="201" t="s">
        <v>610</v>
      </c>
      <c r="C108" s="404"/>
      <c r="D108" s="396">
        <f>SUM(E108:H108)</f>
        <v>0.5</v>
      </c>
      <c r="E108" s="406"/>
      <c r="F108" s="406"/>
      <c r="G108" s="406"/>
      <c r="H108" s="406">
        <v>0.5</v>
      </c>
      <c r="I108" s="396"/>
    </row>
    <row r="109" spans="1:9" ht="54.75" customHeight="1">
      <c r="A109" s="384" t="s">
        <v>743</v>
      </c>
      <c r="B109" s="460" t="s">
        <v>707</v>
      </c>
      <c r="C109" s="385"/>
      <c r="D109" s="386">
        <f>E109+F109+G109+H109</f>
        <v>9.3000000000000007</v>
      </c>
      <c r="E109" s="387">
        <f>E110</f>
        <v>7</v>
      </c>
      <c r="F109" s="387">
        <f t="shared" ref="F109:H109" si="16">F110</f>
        <v>0.5</v>
      </c>
      <c r="G109" s="387">
        <f t="shared" si="16"/>
        <v>0</v>
      </c>
      <c r="H109" s="387">
        <f t="shared" si="16"/>
        <v>1.8</v>
      </c>
      <c r="I109" s="745"/>
    </row>
    <row r="110" spans="1:9" ht="28.5" customHeight="1">
      <c r="A110" s="384"/>
      <c r="B110" s="424" t="s">
        <v>119</v>
      </c>
      <c r="C110" s="404">
        <v>1030</v>
      </c>
      <c r="D110" s="396">
        <f>E110+F110+G110+H110</f>
        <v>9.3000000000000007</v>
      </c>
      <c r="E110" s="397">
        <f>E111</f>
        <v>7</v>
      </c>
      <c r="F110" s="397">
        <f t="shared" ref="F110:H110" si="17">F111</f>
        <v>0.5</v>
      </c>
      <c r="G110" s="397">
        <f t="shared" si="17"/>
        <v>0</v>
      </c>
      <c r="H110" s="397">
        <f t="shared" si="17"/>
        <v>1.8</v>
      </c>
      <c r="I110" s="745"/>
    </row>
    <row r="111" spans="1:9" ht="28.5" customHeight="1">
      <c r="A111" s="384"/>
      <c r="B111" s="425" t="s">
        <v>469</v>
      </c>
      <c r="C111" s="404">
        <v>1051</v>
      </c>
      <c r="D111" s="396">
        <f t="shared" ref="D111:D112" si="18">E111+F111+G111+H111</f>
        <v>9.3000000000000007</v>
      </c>
      <c r="E111" s="397">
        <f>E112</f>
        <v>7</v>
      </c>
      <c r="F111" s="397">
        <f t="shared" ref="F111:H111" si="19">F112</f>
        <v>0.5</v>
      </c>
      <c r="G111" s="397">
        <f t="shared" si="19"/>
        <v>0</v>
      </c>
      <c r="H111" s="397">
        <f t="shared" si="19"/>
        <v>1.8</v>
      </c>
      <c r="I111" s="745"/>
    </row>
    <row r="112" spans="1:9" ht="28.5" customHeight="1">
      <c r="A112" s="384"/>
      <c r="B112" s="395" t="s">
        <v>592</v>
      </c>
      <c r="C112" s="385"/>
      <c r="D112" s="396">
        <f t="shared" si="18"/>
        <v>9.3000000000000007</v>
      </c>
      <c r="E112" s="397">
        <v>7</v>
      </c>
      <c r="F112" s="397">
        <v>0.5</v>
      </c>
      <c r="G112" s="397"/>
      <c r="H112" s="397">
        <v>1.8</v>
      </c>
      <c r="I112" s="745"/>
    </row>
    <row r="113" spans="1:9" ht="39" customHeight="1">
      <c r="A113" s="404" t="s">
        <v>486</v>
      </c>
      <c r="B113" s="460" t="s">
        <v>604</v>
      </c>
      <c r="C113" s="404"/>
      <c r="D113" s="386">
        <f>SUM(E113:H113)</f>
        <v>599.9</v>
      </c>
      <c r="E113" s="405">
        <f>E114+E138</f>
        <v>156.1</v>
      </c>
      <c r="F113" s="405">
        <f t="shared" ref="F113:H113" si="20">F114+F138</f>
        <v>166.1</v>
      </c>
      <c r="G113" s="405">
        <f t="shared" si="20"/>
        <v>106.8</v>
      </c>
      <c r="H113" s="405">
        <f t="shared" si="20"/>
        <v>170.9</v>
      </c>
      <c r="I113" s="396"/>
    </row>
    <row r="114" spans="1:9" ht="30" customHeight="1">
      <c r="A114" s="426" t="s">
        <v>605</v>
      </c>
      <c r="B114" s="407" t="s">
        <v>119</v>
      </c>
      <c r="C114" s="408">
        <v>1030</v>
      </c>
      <c r="D114" s="392">
        <f>SUM(E114:H114)</f>
        <v>350.1</v>
      </c>
      <c r="E114" s="403">
        <f>E115+E118+E122+E124</f>
        <v>114.6</v>
      </c>
      <c r="F114" s="403">
        <f t="shared" ref="F114:H114" si="21">F115+F118+F122+F124</f>
        <v>144.5</v>
      </c>
      <c r="G114" s="403">
        <f t="shared" si="21"/>
        <v>75.2</v>
      </c>
      <c r="H114" s="403">
        <f t="shared" si="21"/>
        <v>15.799999999999999</v>
      </c>
      <c r="I114" s="747"/>
    </row>
    <row r="115" spans="1:9" ht="30" customHeight="1">
      <c r="A115" s="404" t="s">
        <v>606</v>
      </c>
      <c r="B115" s="459" t="s">
        <v>461</v>
      </c>
      <c r="C115" s="404">
        <v>1031</v>
      </c>
      <c r="D115" s="386">
        <f>SUM(E115:H115)</f>
        <v>46.3</v>
      </c>
      <c r="E115" s="405">
        <f>E116+E117</f>
        <v>0</v>
      </c>
      <c r="F115" s="405">
        <f>F116+F117</f>
        <v>11.3</v>
      </c>
      <c r="G115" s="405">
        <f>G116+G117</f>
        <v>35</v>
      </c>
      <c r="H115" s="405">
        <f>H116+H117</f>
        <v>0</v>
      </c>
      <c r="I115" s="396"/>
    </row>
    <row r="116" spans="1:9" ht="30" customHeight="1">
      <c r="A116" s="384"/>
      <c r="B116" s="395" t="s">
        <v>462</v>
      </c>
      <c r="C116" s="385"/>
      <c r="D116" s="396">
        <f t="shared" ref="D116:D137" si="22">SUM(E116:H116)</f>
        <v>16.399999999999999</v>
      </c>
      <c r="E116" s="397"/>
      <c r="F116" s="397">
        <v>5.7</v>
      </c>
      <c r="G116" s="397">
        <v>10.7</v>
      </c>
      <c r="H116" s="397"/>
      <c r="I116" s="745"/>
    </row>
    <row r="117" spans="1:9" ht="30" customHeight="1">
      <c r="A117" s="384"/>
      <c r="B117" s="395" t="s">
        <v>463</v>
      </c>
      <c r="C117" s="385"/>
      <c r="D117" s="396">
        <f t="shared" si="22"/>
        <v>29.9</v>
      </c>
      <c r="E117" s="397"/>
      <c r="F117" s="397">
        <v>5.6</v>
      </c>
      <c r="G117" s="397">
        <v>24.3</v>
      </c>
      <c r="H117" s="397"/>
      <c r="I117" s="745"/>
    </row>
    <row r="118" spans="1:9" ht="30" customHeight="1">
      <c r="A118" s="404" t="s">
        <v>608</v>
      </c>
      <c r="B118" s="414" t="s">
        <v>464</v>
      </c>
      <c r="C118" s="404">
        <v>1034</v>
      </c>
      <c r="D118" s="386">
        <f t="shared" si="22"/>
        <v>9.3000000000000007</v>
      </c>
      <c r="E118" s="405">
        <f>E119+E120+E121</f>
        <v>0</v>
      </c>
      <c r="F118" s="405">
        <f>F119+F120+F121</f>
        <v>9.3000000000000007</v>
      </c>
      <c r="G118" s="405">
        <f>G119+G120+G121</f>
        <v>0</v>
      </c>
      <c r="H118" s="405">
        <f>H119+H120+H121</f>
        <v>0</v>
      </c>
      <c r="I118" s="396"/>
    </row>
    <row r="119" spans="1:9" ht="30" customHeight="1">
      <c r="A119" s="384"/>
      <c r="B119" s="395" t="s">
        <v>465</v>
      </c>
      <c r="C119" s="385"/>
      <c r="D119" s="396">
        <f t="shared" si="22"/>
        <v>0.8</v>
      </c>
      <c r="E119" s="397"/>
      <c r="F119" s="397">
        <v>0.8</v>
      </c>
      <c r="G119" s="397"/>
      <c r="H119" s="397"/>
      <c r="I119" s="745"/>
    </row>
    <row r="120" spans="1:9" ht="30" customHeight="1">
      <c r="A120" s="384"/>
      <c r="B120" s="395" t="s">
        <v>466</v>
      </c>
      <c r="C120" s="385"/>
      <c r="D120" s="396">
        <f t="shared" si="22"/>
        <v>5.7</v>
      </c>
      <c r="E120" s="397"/>
      <c r="F120" s="397">
        <v>5.7</v>
      </c>
      <c r="G120" s="397"/>
      <c r="H120" s="397"/>
      <c r="I120" s="745"/>
    </row>
    <row r="121" spans="1:9" ht="30" customHeight="1">
      <c r="A121" s="384"/>
      <c r="B121" s="395" t="s">
        <v>549</v>
      </c>
      <c r="C121" s="385"/>
      <c r="D121" s="396">
        <f t="shared" si="22"/>
        <v>2.8</v>
      </c>
      <c r="E121" s="397"/>
      <c r="F121" s="397">
        <v>2.8</v>
      </c>
      <c r="G121" s="397"/>
      <c r="H121" s="397"/>
      <c r="I121" s="745"/>
    </row>
    <row r="122" spans="1:9" ht="30" customHeight="1">
      <c r="A122" s="404" t="s">
        <v>609</v>
      </c>
      <c r="B122" s="414" t="s">
        <v>467</v>
      </c>
      <c r="C122" s="404">
        <v>1037</v>
      </c>
      <c r="D122" s="386">
        <f t="shared" si="22"/>
        <v>0.4</v>
      </c>
      <c r="E122" s="405">
        <f>E123</f>
        <v>0</v>
      </c>
      <c r="F122" s="405">
        <f>F123</f>
        <v>0.2</v>
      </c>
      <c r="G122" s="405">
        <f>G123</f>
        <v>0.1</v>
      </c>
      <c r="H122" s="405">
        <f>H123</f>
        <v>0.1</v>
      </c>
      <c r="I122" s="396"/>
    </row>
    <row r="123" spans="1:9" ht="30" customHeight="1">
      <c r="A123" s="384"/>
      <c r="B123" s="395" t="s">
        <v>468</v>
      </c>
      <c r="C123" s="385"/>
      <c r="D123" s="396">
        <f t="shared" si="22"/>
        <v>0.4</v>
      </c>
      <c r="E123" s="397"/>
      <c r="F123" s="397">
        <v>0.2</v>
      </c>
      <c r="G123" s="397">
        <v>0.1</v>
      </c>
      <c r="H123" s="397">
        <v>0.1</v>
      </c>
      <c r="I123" s="745"/>
    </row>
    <row r="124" spans="1:9" ht="30" customHeight="1">
      <c r="A124" s="404" t="s">
        <v>607</v>
      </c>
      <c r="B124" s="416" t="s">
        <v>469</v>
      </c>
      <c r="C124" s="404">
        <v>1051</v>
      </c>
      <c r="D124" s="386">
        <f t="shared" si="22"/>
        <v>294.10000000000002</v>
      </c>
      <c r="E124" s="405">
        <f>SUM(E125:E137)</f>
        <v>114.6</v>
      </c>
      <c r="F124" s="405">
        <f t="shared" ref="F124:H124" si="23">SUM(F125:F137)</f>
        <v>123.7</v>
      </c>
      <c r="G124" s="405">
        <f t="shared" si="23"/>
        <v>40.1</v>
      </c>
      <c r="H124" s="405">
        <f t="shared" si="23"/>
        <v>15.7</v>
      </c>
      <c r="I124" s="396"/>
    </row>
    <row r="125" spans="1:9" ht="30" customHeight="1">
      <c r="A125" s="384"/>
      <c r="B125" s="395" t="s">
        <v>592</v>
      </c>
      <c r="C125" s="385"/>
      <c r="D125" s="396">
        <f t="shared" si="22"/>
        <v>152.6</v>
      </c>
      <c r="E125" s="397"/>
      <c r="F125" s="397">
        <v>123.7</v>
      </c>
      <c r="G125" s="397">
        <v>13.2</v>
      </c>
      <c r="H125" s="397">
        <v>15.7</v>
      </c>
      <c r="I125" s="745"/>
    </row>
    <row r="126" spans="1:9" ht="30" customHeight="1">
      <c r="A126" s="384"/>
      <c r="B126" s="395" t="s">
        <v>709</v>
      </c>
      <c r="C126" s="385"/>
      <c r="D126" s="396">
        <f t="shared" si="22"/>
        <v>0.2</v>
      </c>
      <c r="E126" s="397"/>
      <c r="F126" s="397"/>
      <c r="G126" s="397">
        <v>0.2</v>
      </c>
      <c r="H126" s="397"/>
      <c r="I126" s="745"/>
    </row>
    <row r="127" spans="1:9" ht="30" customHeight="1">
      <c r="A127" s="384"/>
      <c r="B127" s="395" t="s">
        <v>710</v>
      </c>
      <c r="C127" s="385"/>
      <c r="D127" s="396">
        <f t="shared" si="22"/>
        <v>0.5</v>
      </c>
      <c r="E127" s="397">
        <v>0.5</v>
      </c>
      <c r="F127" s="397"/>
      <c r="G127" s="397"/>
      <c r="H127" s="397"/>
      <c r="I127" s="745"/>
    </row>
    <row r="128" spans="1:9" ht="46.5" customHeight="1">
      <c r="A128" s="404"/>
      <c r="B128" s="400" t="s">
        <v>588</v>
      </c>
      <c r="C128" s="404"/>
      <c r="D128" s="396">
        <f t="shared" si="22"/>
        <v>32.6</v>
      </c>
      <c r="E128" s="406">
        <v>18.8</v>
      </c>
      <c r="F128" s="406"/>
      <c r="G128" s="406">
        <v>13.8</v>
      </c>
      <c r="H128" s="406"/>
      <c r="I128" s="396"/>
    </row>
    <row r="129" spans="1:9" ht="30" customHeight="1">
      <c r="A129" s="404"/>
      <c r="B129" s="400" t="s">
        <v>711</v>
      </c>
      <c r="C129" s="404"/>
      <c r="D129" s="396">
        <f t="shared" si="22"/>
        <v>13.3</v>
      </c>
      <c r="E129" s="406">
        <v>13.3</v>
      </c>
      <c r="F129" s="406"/>
      <c r="G129" s="406"/>
      <c r="H129" s="406"/>
      <c r="I129" s="396"/>
    </row>
    <row r="130" spans="1:9" ht="45" customHeight="1">
      <c r="A130" s="404"/>
      <c r="B130" s="400" t="s">
        <v>587</v>
      </c>
      <c r="C130" s="404"/>
      <c r="D130" s="396">
        <f t="shared" si="22"/>
        <v>0.6</v>
      </c>
      <c r="E130" s="406">
        <v>0.6</v>
      </c>
      <c r="F130" s="406"/>
      <c r="G130" s="406"/>
      <c r="H130" s="406"/>
      <c r="I130" s="396"/>
    </row>
    <row r="131" spans="1:9" ht="30" customHeight="1">
      <c r="A131" s="404"/>
      <c r="B131" s="400" t="s">
        <v>712</v>
      </c>
      <c r="C131" s="404"/>
      <c r="D131" s="396">
        <f t="shared" si="22"/>
        <v>0.6</v>
      </c>
      <c r="E131" s="406">
        <v>0.6</v>
      </c>
      <c r="F131" s="406"/>
      <c r="G131" s="406"/>
      <c r="H131" s="406"/>
      <c r="I131" s="396"/>
    </row>
    <row r="132" spans="1:9" ht="30" customHeight="1">
      <c r="A132" s="404"/>
      <c r="B132" s="400" t="s">
        <v>613</v>
      </c>
      <c r="C132" s="404"/>
      <c r="D132" s="396">
        <f t="shared" si="22"/>
        <v>12.9</v>
      </c>
      <c r="E132" s="406"/>
      <c r="F132" s="406"/>
      <c r="G132" s="406">
        <v>12.9</v>
      </c>
      <c r="H132" s="406"/>
      <c r="I132" s="396"/>
    </row>
    <row r="133" spans="1:9" ht="42" customHeight="1">
      <c r="A133" s="404"/>
      <c r="B133" s="400" t="s">
        <v>713</v>
      </c>
      <c r="C133" s="404"/>
      <c r="D133" s="396">
        <f t="shared" si="22"/>
        <v>32.700000000000003</v>
      </c>
      <c r="E133" s="406">
        <v>32.700000000000003</v>
      </c>
      <c r="F133" s="406"/>
      <c r="G133" s="406"/>
      <c r="H133" s="406"/>
      <c r="I133" s="396"/>
    </row>
    <row r="134" spans="1:9" ht="30" customHeight="1">
      <c r="A134" s="404"/>
      <c r="B134" s="400" t="s">
        <v>714</v>
      </c>
      <c r="C134" s="404"/>
      <c r="D134" s="396">
        <f t="shared" si="22"/>
        <v>2.2000000000000002</v>
      </c>
      <c r="E134" s="406">
        <v>2.2000000000000002</v>
      </c>
      <c r="F134" s="406"/>
      <c r="G134" s="406"/>
      <c r="H134" s="406"/>
      <c r="I134" s="396"/>
    </row>
    <row r="135" spans="1:9" ht="30" customHeight="1">
      <c r="A135" s="404"/>
      <c r="B135" s="400" t="s">
        <v>715</v>
      </c>
      <c r="C135" s="404"/>
      <c r="D135" s="396">
        <f t="shared" si="22"/>
        <v>2.1</v>
      </c>
      <c r="E135" s="406">
        <v>2.1</v>
      </c>
      <c r="F135" s="406"/>
      <c r="G135" s="406"/>
      <c r="H135" s="406"/>
      <c r="I135" s="396"/>
    </row>
    <row r="136" spans="1:9" ht="30" customHeight="1">
      <c r="A136" s="404"/>
      <c r="B136" s="400" t="s">
        <v>470</v>
      </c>
      <c r="C136" s="404"/>
      <c r="D136" s="396">
        <f t="shared" si="22"/>
        <v>4</v>
      </c>
      <c r="E136" s="406">
        <v>4</v>
      </c>
      <c r="F136" s="406"/>
      <c r="G136" s="406"/>
      <c r="H136" s="406"/>
      <c r="I136" s="396"/>
    </row>
    <row r="137" spans="1:9" ht="30" customHeight="1">
      <c r="A137" s="404"/>
      <c r="B137" s="454" t="s">
        <v>750</v>
      </c>
      <c r="C137" s="427"/>
      <c r="D137" s="396">
        <f t="shared" si="22"/>
        <v>39.799999999999997</v>
      </c>
      <c r="E137" s="396">
        <v>39.799999999999997</v>
      </c>
      <c r="F137" s="396"/>
      <c r="G137" s="396"/>
      <c r="H137" s="396"/>
      <c r="I137" s="396"/>
    </row>
    <row r="138" spans="1:9" ht="27.75" customHeight="1">
      <c r="A138" s="461" t="s">
        <v>616</v>
      </c>
      <c r="B138" s="422" t="s">
        <v>76</v>
      </c>
      <c r="C138" s="427">
        <v>1080</v>
      </c>
      <c r="D138" s="386">
        <f>E138+F138+G138+H138</f>
        <v>249.79999999999998</v>
      </c>
      <c r="E138" s="386">
        <f>SUM(E139:E147)</f>
        <v>41.499999999999993</v>
      </c>
      <c r="F138" s="386">
        <f t="shared" ref="F138:H138" si="24">SUM(F139:F147)</f>
        <v>21.6</v>
      </c>
      <c r="G138" s="386">
        <f t="shared" si="24"/>
        <v>31.599999999999998</v>
      </c>
      <c r="H138" s="386">
        <f t="shared" si="24"/>
        <v>155.1</v>
      </c>
      <c r="I138" s="396"/>
    </row>
    <row r="139" spans="1:9" ht="30" customHeight="1">
      <c r="A139" s="404"/>
      <c r="B139" s="400" t="s">
        <v>702</v>
      </c>
      <c r="C139" s="404"/>
      <c r="D139" s="396">
        <f>SUM(E139:H139)</f>
        <v>192.5</v>
      </c>
      <c r="E139" s="406"/>
      <c r="F139" s="406">
        <v>13.8</v>
      </c>
      <c r="G139" s="406">
        <v>28.2</v>
      </c>
      <c r="H139" s="406">
        <v>150.5</v>
      </c>
      <c r="I139" s="396"/>
    </row>
    <row r="140" spans="1:9" ht="30" customHeight="1">
      <c r="A140" s="404"/>
      <c r="B140" s="400" t="s">
        <v>716</v>
      </c>
      <c r="C140" s="404"/>
      <c r="D140" s="396">
        <f t="shared" ref="D140:D147" si="25">SUM(E140:H140)</f>
        <v>6.1999999999999993</v>
      </c>
      <c r="E140" s="406">
        <v>2.5</v>
      </c>
      <c r="F140" s="406">
        <v>1.8</v>
      </c>
      <c r="G140" s="406"/>
      <c r="H140" s="406">
        <v>1.9</v>
      </c>
      <c r="I140" s="396"/>
    </row>
    <row r="141" spans="1:9" ht="30" customHeight="1">
      <c r="A141" s="404"/>
      <c r="B141" s="400" t="s">
        <v>717</v>
      </c>
      <c r="C141" s="404"/>
      <c r="D141" s="396">
        <f t="shared" si="25"/>
        <v>10.200000000000001</v>
      </c>
      <c r="E141" s="406">
        <v>2.8</v>
      </c>
      <c r="F141" s="406">
        <v>3.7</v>
      </c>
      <c r="G141" s="406">
        <v>1.8</v>
      </c>
      <c r="H141" s="406">
        <v>1.9</v>
      </c>
      <c r="I141" s="396"/>
    </row>
    <row r="142" spans="1:9" ht="30" customHeight="1">
      <c r="A142" s="404"/>
      <c r="B142" s="400" t="s">
        <v>575</v>
      </c>
      <c r="C142" s="404"/>
      <c r="D142" s="396">
        <f t="shared" si="25"/>
        <v>0.8</v>
      </c>
      <c r="E142" s="406"/>
      <c r="F142" s="406">
        <v>0.2</v>
      </c>
      <c r="G142" s="406">
        <v>0.4</v>
      </c>
      <c r="H142" s="406">
        <v>0.2</v>
      </c>
      <c r="I142" s="396"/>
    </row>
    <row r="143" spans="1:9" ht="30" customHeight="1">
      <c r="A143" s="404"/>
      <c r="B143" s="400" t="s">
        <v>718</v>
      </c>
      <c r="C143" s="404"/>
      <c r="D143" s="396">
        <f t="shared" si="25"/>
        <v>1.2</v>
      </c>
      <c r="E143" s="406"/>
      <c r="F143" s="406">
        <v>1.2</v>
      </c>
      <c r="G143" s="406"/>
      <c r="H143" s="406"/>
      <c r="I143" s="396"/>
    </row>
    <row r="144" spans="1:9" ht="30" customHeight="1">
      <c r="A144" s="404"/>
      <c r="B144" s="400" t="s">
        <v>468</v>
      </c>
      <c r="C144" s="404"/>
      <c r="D144" s="396">
        <f t="shared" si="25"/>
        <v>0.30000000000000004</v>
      </c>
      <c r="E144" s="406">
        <v>0.1</v>
      </c>
      <c r="F144" s="406">
        <v>0.2</v>
      </c>
      <c r="G144" s="406"/>
      <c r="H144" s="406"/>
      <c r="I144" s="396"/>
    </row>
    <row r="145" spans="1:9" ht="30" customHeight="1">
      <c r="A145" s="404"/>
      <c r="B145" s="400" t="s">
        <v>719</v>
      </c>
      <c r="C145" s="404"/>
      <c r="D145" s="396">
        <f t="shared" si="25"/>
        <v>0.1</v>
      </c>
      <c r="E145" s="406"/>
      <c r="F145" s="406">
        <v>0.1</v>
      </c>
      <c r="G145" s="406"/>
      <c r="H145" s="406"/>
      <c r="I145" s="396"/>
    </row>
    <row r="146" spans="1:9" ht="30" customHeight="1">
      <c r="A146" s="404"/>
      <c r="B146" s="400" t="s">
        <v>696</v>
      </c>
      <c r="C146" s="404"/>
      <c r="D146" s="396">
        <f t="shared" si="25"/>
        <v>35.299999999999997</v>
      </c>
      <c r="E146" s="406">
        <v>35.299999999999997</v>
      </c>
      <c r="F146" s="406"/>
      <c r="G146" s="406"/>
      <c r="H146" s="406"/>
      <c r="I146" s="396"/>
    </row>
    <row r="147" spans="1:9" ht="30" customHeight="1">
      <c r="A147" s="404"/>
      <c r="B147" s="400" t="s">
        <v>720</v>
      </c>
      <c r="C147" s="404"/>
      <c r="D147" s="396">
        <f t="shared" si="25"/>
        <v>3.1999999999999997</v>
      </c>
      <c r="E147" s="406">
        <v>0.8</v>
      </c>
      <c r="F147" s="406">
        <v>0.6</v>
      </c>
      <c r="G147" s="406">
        <v>1.2</v>
      </c>
      <c r="H147" s="406">
        <v>0.6</v>
      </c>
      <c r="I147" s="396"/>
    </row>
    <row r="148" spans="1:9" ht="31.5" customHeight="1">
      <c r="A148" s="384" t="s">
        <v>487</v>
      </c>
      <c r="B148" s="460" t="s">
        <v>482</v>
      </c>
      <c r="C148" s="404"/>
      <c r="D148" s="392">
        <f t="shared" ref="D148:D155" si="26">E148+F148+G148+H148</f>
        <v>65.8</v>
      </c>
      <c r="E148" s="405">
        <f>E149</f>
        <v>15.2</v>
      </c>
      <c r="F148" s="405">
        <f>F149</f>
        <v>14.8</v>
      </c>
      <c r="G148" s="405">
        <f>G149</f>
        <v>12</v>
      </c>
      <c r="H148" s="405">
        <f>H149</f>
        <v>23.8</v>
      </c>
      <c r="I148" s="396" t="s">
        <v>483</v>
      </c>
    </row>
    <row r="149" spans="1:9" ht="28.5" customHeight="1">
      <c r="A149" s="384" t="s">
        <v>614</v>
      </c>
      <c r="B149" s="428" t="s">
        <v>475</v>
      </c>
      <c r="C149" s="404">
        <v>1030</v>
      </c>
      <c r="D149" s="392">
        <f t="shared" si="26"/>
        <v>65.8</v>
      </c>
      <c r="E149" s="403">
        <f>E150</f>
        <v>15.2</v>
      </c>
      <c r="F149" s="403">
        <f t="shared" ref="F149:H149" si="27">F150</f>
        <v>14.8</v>
      </c>
      <c r="G149" s="403">
        <f t="shared" si="27"/>
        <v>12</v>
      </c>
      <c r="H149" s="403">
        <f t="shared" si="27"/>
        <v>23.8</v>
      </c>
      <c r="I149" s="396"/>
    </row>
    <row r="150" spans="1:9" ht="26.25" customHeight="1">
      <c r="A150" s="384"/>
      <c r="B150" s="460" t="s">
        <v>477</v>
      </c>
      <c r="C150" s="404">
        <v>1051</v>
      </c>
      <c r="D150" s="392">
        <f t="shared" si="26"/>
        <v>65.8</v>
      </c>
      <c r="E150" s="405">
        <f>SUM(E151:E155)</f>
        <v>15.2</v>
      </c>
      <c r="F150" s="405">
        <f>SUM(F151:F155)</f>
        <v>14.8</v>
      </c>
      <c r="G150" s="405">
        <f>SUM(G151:G155)</f>
        <v>12</v>
      </c>
      <c r="H150" s="405">
        <f>SUM(H151:H155)</f>
        <v>23.8</v>
      </c>
      <c r="I150" s="396"/>
    </row>
    <row r="151" spans="1:9" ht="28.5" customHeight="1">
      <c r="A151" s="394"/>
      <c r="B151" s="417" t="s">
        <v>484</v>
      </c>
      <c r="C151" s="461"/>
      <c r="D151" s="396">
        <f t="shared" si="26"/>
        <v>23.3</v>
      </c>
      <c r="E151" s="406">
        <v>8.1999999999999993</v>
      </c>
      <c r="F151" s="406">
        <f>0.9+4</f>
        <v>4.9000000000000004</v>
      </c>
      <c r="G151" s="406">
        <v>0.9</v>
      </c>
      <c r="H151" s="406">
        <f>13.3-4</f>
        <v>9.3000000000000007</v>
      </c>
      <c r="I151" s="396"/>
    </row>
    <row r="152" spans="1:9" ht="28.5" customHeight="1">
      <c r="A152" s="394"/>
      <c r="B152" s="417" t="s">
        <v>479</v>
      </c>
      <c r="C152" s="461"/>
      <c r="D152" s="396">
        <f t="shared" si="26"/>
        <v>2.7</v>
      </c>
      <c r="E152" s="406">
        <v>0.2</v>
      </c>
      <c r="F152" s="406">
        <v>0.5</v>
      </c>
      <c r="G152" s="406">
        <v>0.7</v>
      </c>
      <c r="H152" s="406">
        <v>1.3</v>
      </c>
      <c r="I152" s="396"/>
    </row>
    <row r="153" spans="1:9" ht="29.25" customHeight="1">
      <c r="A153" s="394"/>
      <c r="B153" s="417" t="s">
        <v>480</v>
      </c>
      <c r="C153" s="461"/>
      <c r="D153" s="396">
        <f t="shared" si="26"/>
        <v>35.6</v>
      </c>
      <c r="E153" s="406">
        <v>6.3</v>
      </c>
      <c r="F153" s="406">
        <v>8.3000000000000007</v>
      </c>
      <c r="G153" s="406">
        <v>9.3000000000000007</v>
      </c>
      <c r="H153" s="406">
        <v>11.7</v>
      </c>
      <c r="I153" s="396"/>
    </row>
    <row r="154" spans="1:9" ht="28.5" customHeight="1">
      <c r="A154" s="394"/>
      <c r="B154" s="417" t="s">
        <v>485</v>
      </c>
      <c r="C154" s="461"/>
      <c r="D154" s="396">
        <f t="shared" si="26"/>
        <v>0.4</v>
      </c>
      <c r="E154" s="406">
        <v>0.1</v>
      </c>
      <c r="F154" s="406">
        <v>0.1</v>
      </c>
      <c r="G154" s="406">
        <v>0.1</v>
      </c>
      <c r="H154" s="406">
        <v>0.1</v>
      </c>
      <c r="I154" s="396"/>
    </row>
    <row r="155" spans="1:9" ht="30.75" customHeight="1">
      <c r="A155" s="394"/>
      <c r="B155" s="417" t="s">
        <v>592</v>
      </c>
      <c r="C155" s="461"/>
      <c r="D155" s="396">
        <f t="shared" si="26"/>
        <v>3.8</v>
      </c>
      <c r="E155" s="406">
        <v>0.4</v>
      </c>
      <c r="F155" s="406">
        <v>1</v>
      </c>
      <c r="G155" s="406">
        <v>1</v>
      </c>
      <c r="H155" s="406">
        <v>1.4</v>
      </c>
      <c r="I155" s="396"/>
    </row>
    <row r="156" spans="1:9" ht="56.25" customHeight="1">
      <c r="A156" s="384" t="s">
        <v>546</v>
      </c>
      <c r="B156" s="201" t="s">
        <v>692</v>
      </c>
      <c r="C156" s="461"/>
      <c r="D156" s="386">
        <f>E156+F156+G156+H156</f>
        <v>1.8</v>
      </c>
      <c r="E156" s="386">
        <f t="shared" ref="E156:H156" si="28">E157</f>
        <v>0.4</v>
      </c>
      <c r="F156" s="386">
        <f t="shared" si="28"/>
        <v>0.6</v>
      </c>
      <c r="G156" s="386">
        <f t="shared" si="28"/>
        <v>0.5</v>
      </c>
      <c r="H156" s="386">
        <f t="shared" si="28"/>
        <v>0.3</v>
      </c>
      <c r="I156" s="396"/>
    </row>
    <row r="157" spans="1:9" ht="25.5" customHeight="1">
      <c r="A157" s="384" t="s">
        <v>752</v>
      </c>
      <c r="B157" s="201" t="s">
        <v>469</v>
      </c>
      <c r="C157" s="461">
        <v>1051</v>
      </c>
      <c r="D157" s="386">
        <f>E157+F157+G157+H157</f>
        <v>1.8</v>
      </c>
      <c r="E157" s="386">
        <f>E158+E159</f>
        <v>0.4</v>
      </c>
      <c r="F157" s="386">
        <f t="shared" ref="F157:H157" si="29">F158+F159</f>
        <v>0.6</v>
      </c>
      <c r="G157" s="386">
        <f t="shared" si="29"/>
        <v>0.5</v>
      </c>
      <c r="H157" s="386">
        <f t="shared" si="29"/>
        <v>0.3</v>
      </c>
      <c r="I157" s="396"/>
    </row>
    <row r="158" spans="1:9" ht="25.5" customHeight="1">
      <c r="A158" s="394"/>
      <c r="B158" s="201" t="s">
        <v>592</v>
      </c>
      <c r="C158" s="461"/>
      <c r="D158" s="386">
        <f>SUM(E158:H158)</f>
        <v>0.4</v>
      </c>
      <c r="E158" s="405">
        <v>0.4</v>
      </c>
      <c r="F158" s="405"/>
      <c r="G158" s="405"/>
      <c r="H158" s="405"/>
      <c r="I158" s="396"/>
    </row>
    <row r="159" spans="1:9" ht="25.5" customHeight="1">
      <c r="A159" s="420"/>
      <c r="B159" s="201" t="s">
        <v>712</v>
      </c>
      <c r="C159" s="461"/>
      <c r="D159" s="386">
        <f>SUM(E159:H159)</f>
        <v>1.4000000000000001</v>
      </c>
      <c r="E159" s="405"/>
      <c r="F159" s="405">
        <v>0.6</v>
      </c>
      <c r="G159" s="405">
        <v>0.5</v>
      </c>
      <c r="H159" s="405">
        <v>0.3</v>
      </c>
      <c r="I159" s="396"/>
    </row>
    <row r="160" spans="1:9" ht="36" customHeight="1">
      <c r="A160" s="404" t="s">
        <v>615</v>
      </c>
      <c r="B160" s="460" t="s">
        <v>488</v>
      </c>
      <c r="C160" s="404"/>
      <c r="D160" s="386">
        <f t="shared" ref="D160:D162" si="30">E160+F160+G160+H160</f>
        <v>329.5</v>
      </c>
      <c r="E160" s="405">
        <f t="shared" ref="E160:H161" si="31">E161</f>
        <v>0</v>
      </c>
      <c r="F160" s="405">
        <f t="shared" si="31"/>
        <v>1</v>
      </c>
      <c r="G160" s="405">
        <f t="shared" si="31"/>
        <v>318</v>
      </c>
      <c r="H160" s="405">
        <f t="shared" si="31"/>
        <v>10.5</v>
      </c>
      <c r="I160" s="396"/>
    </row>
    <row r="161" spans="1:9" ht="28.5" customHeight="1">
      <c r="A161" s="737" t="s">
        <v>729</v>
      </c>
      <c r="B161" s="428" t="s">
        <v>475</v>
      </c>
      <c r="C161" s="408">
        <v>1030</v>
      </c>
      <c r="D161" s="396">
        <f t="shared" si="30"/>
        <v>329.5</v>
      </c>
      <c r="E161" s="403">
        <f t="shared" si="31"/>
        <v>0</v>
      </c>
      <c r="F161" s="403">
        <f t="shared" si="31"/>
        <v>1</v>
      </c>
      <c r="G161" s="403">
        <f t="shared" si="31"/>
        <v>318</v>
      </c>
      <c r="H161" s="403">
        <f t="shared" si="31"/>
        <v>10.5</v>
      </c>
      <c r="I161" s="396"/>
    </row>
    <row r="162" spans="1:9" ht="47.25" customHeight="1">
      <c r="A162" s="394"/>
      <c r="B162" s="201" t="s">
        <v>37</v>
      </c>
      <c r="C162" s="461">
        <v>1040</v>
      </c>
      <c r="D162" s="396">
        <f t="shared" si="30"/>
        <v>329.5</v>
      </c>
      <c r="E162" s="406"/>
      <c r="F162" s="406">
        <v>1</v>
      </c>
      <c r="G162" s="406">
        <v>318</v>
      </c>
      <c r="H162" s="406">
        <v>10.5</v>
      </c>
      <c r="I162" s="396"/>
    </row>
    <row r="163" spans="1:9" ht="30" customHeight="1">
      <c r="A163" s="738"/>
      <c r="B163" s="421"/>
      <c r="C163" s="457"/>
      <c r="D163" s="739"/>
      <c r="E163" s="740"/>
      <c r="F163" s="740"/>
      <c r="G163" s="739"/>
      <c r="H163" s="739"/>
      <c r="I163" s="457"/>
    </row>
    <row r="164" spans="1:9" ht="18.75">
      <c r="B164" s="449" t="s">
        <v>745</v>
      </c>
      <c r="C164" s="741"/>
      <c r="D164" s="741"/>
      <c r="E164" s="741"/>
      <c r="F164" s="741"/>
      <c r="G164" s="742" t="s">
        <v>617</v>
      </c>
      <c r="H164" s="742"/>
    </row>
  </sheetData>
  <mergeCells count="9">
    <mergeCell ref="G164:H164"/>
    <mergeCell ref="A1:I1"/>
    <mergeCell ref="A2:B2"/>
    <mergeCell ref="A3:A4"/>
    <mergeCell ref="B3:B4"/>
    <mergeCell ref="C3:C4"/>
    <mergeCell ref="D3:D4"/>
    <mergeCell ref="E3:H3"/>
    <mergeCell ref="I3:I4"/>
  </mergeCells>
  <pageMargins left="0.51181102362204722" right="0.11811023622047245" top="0.19685039370078741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95"/>
  <sheetViews>
    <sheetView view="pageBreakPreview" zoomScale="70" zoomScaleNormal="75" zoomScaleSheetLayoutView="70" workbookViewId="0">
      <selection activeCell="A44" sqref="A44"/>
    </sheetView>
  </sheetViews>
  <sheetFormatPr defaultColWidth="77.85546875" defaultRowHeight="18.75"/>
  <cols>
    <col min="1" max="1" width="84.85546875" style="29" customWidth="1"/>
    <col min="2" max="2" width="15.28515625" style="31" customWidth="1"/>
    <col min="3" max="3" width="13.140625" style="31" customWidth="1"/>
    <col min="4" max="4" width="13.5703125" style="31" customWidth="1"/>
    <col min="5" max="5" width="14.42578125" style="31" customWidth="1"/>
    <col min="6" max="6" width="15.85546875" style="29" customWidth="1"/>
    <col min="7" max="7" width="13.85546875" style="29" customWidth="1"/>
    <col min="8" max="10" width="15.85546875" style="29" customWidth="1"/>
    <col min="11" max="11" width="10" style="29" customWidth="1"/>
    <col min="12" max="12" width="9.5703125" style="29" customWidth="1"/>
    <col min="13" max="255" width="9.140625" style="29" customWidth="1"/>
    <col min="256" max="16384" width="77.85546875" style="29"/>
  </cols>
  <sheetData>
    <row r="1" spans="1:10">
      <c r="J1" s="78" t="s">
        <v>406</v>
      </c>
    </row>
    <row r="2" spans="1:10">
      <c r="A2" s="546" t="s">
        <v>124</v>
      </c>
      <c r="B2" s="546"/>
      <c r="C2" s="546"/>
      <c r="D2" s="546"/>
      <c r="E2" s="546"/>
      <c r="F2" s="546"/>
      <c r="G2" s="546"/>
      <c r="H2" s="546"/>
      <c r="I2" s="546"/>
      <c r="J2" s="546"/>
    </row>
    <row r="3" spans="1:10">
      <c r="A3" s="31"/>
      <c r="F3" s="31"/>
      <c r="G3" s="31"/>
      <c r="H3" s="31"/>
      <c r="I3" s="31"/>
      <c r="J3" s="31" t="s">
        <v>377</v>
      </c>
    </row>
    <row r="4" spans="1:10" ht="38.25" customHeight="1">
      <c r="A4" s="489" t="s">
        <v>179</v>
      </c>
      <c r="B4" s="547" t="s">
        <v>17</v>
      </c>
      <c r="C4" s="547"/>
      <c r="D4" s="547"/>
      <c r="E4" s="548"/>
      <c r="F4" s="487" t="s">
        <v>512</v>
      </c>
      <c r="G4" s="487" t="s">
        <v>376</v>
      </c>
      <c r="H4" s="487"/>
      <c r="I4" s="487"/>
      <c r="J4" s="487"/>
    </row>
    <row r="5" spans="1:10" ht="92.25" customHeight="1">
      <c r="A5" s="489"/>
      <c r="B5" s="547"/>
      <c r="C5" s="547"/>
      <c r="D5" s="547"/>
      <c r="E5" s="548"/>
      <c r="F5" s="487"/>
      <c r="G5" s="12" t="s">
        <v>141</v>
      </c>
      <c r="H5" s="12" t="s">
        <v>142</v>
      </c>
      <c r="I5" s="12" t="s">
        <v>143</v>
      </c>
      <c r="J5" s="12" t="s">
        <v>68</v>
      </c>
    </row>
    <row r="6" spans="1:10" ht="18" customHeight="1">
      <c r="A6" s="35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spans="1:10" ht="24.95" customHeight="1">
      <c r="A7" s="539" t="s">
        <v>122</v>
      </c>
      <c r="B7" s="540"/>
      <c r="C7" s="540"/>
      <c r="D7" s="540"/>
      <c r="E7" s="540"/>
      <c r="F7" s="540"/>
      <c r="G7" s="540"/>
      <c r="H7" s="540"/>
      <c r="I7" s="540"/>
      <c r="J7" s="541"/>
    </row>
    <row r="8" spans="1:10" ht="42.75" customHeight="1">
      <c r="A8" s="227" t="s">
        <v>54</v>
      </c>
      <c r="B8" s="226">
        <v>2000</v>
      </c>
      <c r="C8" s="86"/>
      <c r="D8" s="86"/>
      <c r="E8" s="86"/>
      <c r="F8" s="86"/>
      <c r="G8" s="86"/>
      <c r="H8" s="86"/>
      <c r="I8" s="86"/>
      <c r="J8" s="86"/>
    </row>
    <row r="9" spans="1:10" ht="37.5">
      <c r="A9" s="76" t="s">
        <v>271</v>
      </c>
      <c r="B9" s="80">
        <v>2010</v>
      </c>
      <c r="C9" s="106">
        <f>SUM(C10:C10)</f>
        <v>0</v>
      </c>
      <c r="D9" s="106">
        <f>SUM(D10:D10)</f>
        <v>0</v>
      </c>
      <c r="E9" s="106">
        <f>SUM(E10:E10)</f>
        <v>0</v>
      </c>
      <c r="F9" s="106">
        <f t="shared" ref="F9:F40" si="0">SUM(G9:J9)</f>
        <v>0</v>
      </c>
      <c r="G9" s="106">
        <f>SUM(G10:G10)</f>
        <v>0</v>
      </c>
      <c r="H9" s="106">
        <f>SUM(H10:H10)</f>
        <v>0</v>
      </c>
      <c r="I9" s="106">
        <f>SUM(I10:I10)</f>
        <v>0</v>
      </c>
      <c r="J9" s="106">
        <f>SUM(J10:J10)</f>
        <v>0</v>
      </c>
    </row>
    <row r="10" spans="1:10">
      <c r="A10" s="87" t="s">
        <v>384</v>
      </c>
      <c r="B10" s="80">
        <v>2011</v>
      </c>
      <c r="C10" s="106" t="s">
        <v>220</v>
      </c>
      <c r="D10" s="106" t="s">
        <v>220</v>
      </c>
      <c r="E10" s="106" t="s">
        <v>220</v>
      </c>
      <c r="F10" s="106">
        <f>SUM(G10:J10)</f>
        <v>0</v>
      </c>
      <c r="G10" s="106" t="s">
        <v>220</v>
      </c>
      <c r="H10" s="106" t="s">
        <v>220</v>
      </c>
      <c r="I10" s="106" t="s">
        <v>220</v>
      </c>
      <c r="J10" s="106" t="s">
        <v>220</v>
      </c>
    </row>
    <row r="11" spans="1:10" ht="20.100000000000001" customHeight="1">
      <c r="A11" s="87" t="s">
        <v>146</v>
      </c>
      <c r="B11" s="80">
        <v>2020</v>
      </c>
      <c r="C11" s="106"/>
      <c r="D11" s="106"/>
      <c r="E11" s="106"/>
      <c r="F11" s="106">
        <f t="shared" si="0"/>
        <v>0</v>
      </c>
      <c r="G11" s="106"/>
      <c r="H11" s="106"/>
      <c r="I11" s="106"/>
      <c r="J11" s="106"/>
    </row>
    <row r="12" spans="1:10" s="30" customFormat="1" ht="20.100000000000001" customHeight="1">
      <c r="A12" s="76" t="s">
        <v>64</v>
      </c>
      <c r="B12" s="80">
        <v>2030</v>
      </c>
      <c r="C12" s="106" t="s">
        <v>220</v>
      </c>
      <c r="D12" s="106" t="s">
        <v>220</v>
      </c>
      <c r="E12" s="106" t="s">
        <v>220</v>
      </c>
      <c r="F12" s="106">
        <f t="shared" si="0"/>
        <v>0</v>
      </c>
      <c r="G12" s="106" t="s">
        <v>220</v>
      </c>
      <c r="H12" s="106" t="s">
        <v>220</v>
      </c>
      <c r="I12" s="106" t="s">
        <v>220</v>
      </c>
      <c r="J12" s="106" t="s">
        <v>220</v>
      </c>
    </row>
    <row r="13" spans="1:10" ht="20.100000000000001" customHeight="1">
      <c r="A13" s="76" t="s">
        <v>364</v>
      </c>
      <c r="B13" s="80">
        <v>2031</v>
      </c>
      <c r="C13" s="106" t="s">
        <v>220</v>
      </c>
      <c r="D13" s="106" t="s">
        <v>220</v>
      </c>
      <c r="E13" s="106" t="s">
        <v>220</v>
      </c>
      <c r="F13" s="106">
        <f t="shared" si="0"/>
        <v>0</v>
      </c>
      <c r="G13" s="106" t="s">
        <v>220</v>
      </c>
      <c r="H13" s="106" t="s">
        <v>220</v>
      </c>
      <c r="I13" s="106" t="s">
        <v>220</v>
      </c>
      <c r="J13" s="106" t="s">
        <v>220</v>
      </c>
    </row>
    <row r="14" spans="1:10" ht="20.100000000000001" customHeight="1">
      <c r="A14" s="76" t="s">
        <v>26</v>
      </c>
      <c r="B14" s="80">
        <v>2040</v>
      </c>
      <c r="C14" s="106" t="s">
        <v>220</v>
      </c>
      <c r="D14" s="106" t="s">
        <v>220</v>
      </c>
      <c r="E14" s="106" t="s">
        <v>220</v>
      </c>
      <c r="F14" s="106">
        <f t="shared" si="0"/>
        <v>0</v>
      </c>
      <c r="G14" s="106" t="s">
        <v>220</v>
      </c>
      <c r="H14" s="106" t="s">
        <v>220</v>
      </c>
      <c r="I14" s="106" t="s">
        <v>220</v>
      </c>
      <c r="J14" s="106" t="s">
        <v>220</v>
      </c>
    </row>
    <row r="15" spans="1:10" ht="20.100000000000001" customHeight="1">
      <c r="A15" s="76" t="s">
        <v>104</v>
      </c>
      <c r="B15" s="80">
        <v>2050</v>
      </c>
      <c r="C15" s="106" t="s">
        <v>220</v>
      </c>
      <c r="D15" s="106" t="s">
        <v>220</v>
      </c>
      <c r="E15" s="106" t="s">
        <v>220</v>
      </c>
      <c r="F15" s="106">
        <f t="shared" si="0"/>
        <v>0</v>
      </c>
      <c r="G15" s="106" t="s">
        <v>220</v>
      </c>
      <c r="H15" s="106" t="s">
        <v>220</v>
      </c>
      <c r="I15" s="106" t="s">
        <v>220</v>
      </c>
      <c r="J15" s="106" t="s">
        <v>220</v>
      </c>
    </row>
    <row r="16" spans="1:10" ht="20.100000000000001" customHeight="1">
      <c r="A16" s="76" t="s">
        <v>105</v>
      </c>
      <c r="B16" s="80">
        <v>2060</v>
      </c>
      <c r="C16" s="106" t="s">
        <v>220</v>
      </c>
      <c r="D16" s="106" t="s">
        <v>220</v>
      </c>
      <c r="E16" s="106" t="s">
        <v>220</v>
      </c>
      <c r="F16" s="106">
        <f t="shared" si="0"/>
        <v>0</v>
      </c>
      <c r="G16" s="106" t="s">
        <v>220</v>
      </c>
      <c r="H16" s="106" t="s">
        <v>220</v>
      </c>
      <c r="I16" s="106" t="s">
        <v>220</v>
      </c>
      <c r="J16" s="106" t="s">
        <v>220</v>
      </c>
    </row>
    <row r="17" spans="1:11" ht="42.75" customHeight="1">
      <c r="A17" s="227" t="s">
        <v>55</v>
      </c>
      <c r="B17" s="226">
        <v>2070</v>
      </c>
      <c r="C17" s="86">
        <f>SUM(C8,C9,C11,C12,C14,C15,C16)+'I. Фін результат'!C77</f>
        <v>0</v>
      </c>
      <c r="D17" s="86">
        <f>SUM(D8,D9,D11,D12,D14,D15,D16)+'I. Фін результат'!D77</f>
        <v>0</v>
      </c>
      <c r="E17" s="86">
        <f>SUM(E8,E9,E11,E12,E14,E15,E16)+'I. Фін результат'!E77</f>
        <v>0</v>
      </c>
      <c r="F17" s="86">
        <f>SUM(F8,F9,F11,F12,F14,F15,F16)+'I. Фін результат'!F77</f>
        <v>0</v>
      </c>
      <c r="G17" s="86">
        <f>SUM(G8,G9,G11,G12,G14,G15,G16)+'I. Фін результат'!G77</f>
        <v>0</v>
      </c>
      <c r="H17" s="190">
        <f>SUM(H8,H9,H11,H12,H14,H15,H16)+'I. Фін результат'!H77</f>
        <v>4.5474735088646412E-13</v>
      </c>
      <c r="I17" s="190">
        <f>SUM(I8,I9,I11,I12,I14,I15,I16)+'I. Фін результат'!I77</f>
        <v>-9.0949470177292824E-13</v>
      </c>
      <c r="J17" s="190">
        <f>SUM(J8,J9,J11,J12,J14,J15,J16)+'I. Фін результат'!J77</f>
        <v>9.0949470177292824E-13</v>
      </c>
      <c r="K17" s="30"/>
    </row>
    <row r="18" spans="1:11" ht="20.100000000000001" customHeight="1">
      <c r="A18" s="542" t="s">
        <v>315</v>
      </c>
      <c r="B18" s="542"/>
      <c r="C18" s="542"/>
      <c r="D18" s="542"/>
      <c r="E18" s="542"/>
      <c r="F18" s="542"/>
      <c r="G18" s="542"/>
      <c r="H18" s="542"/>
      <c r="I18" s="542"/>
      <c r="J18" s="542"/>
    </row>
    <row r="19" spans="1:11" ht="37.5">
      <c r="A19" s="90" t="s">
        <v>313</v>
      </c>
      <c r="B19" s="111">
        <v>2110</v>
      </c>
      <c r="C19" s="86">
        <f>SUM(C20:C26)</f>
        <v>0</v>
      </c>
      <c r="D19" s="86">
        <f>SUM(D20:D26)</f>
        <v>0</v>
      </c>
      <c r="E19" s="86">
        <f>SUM(E20:E26)</f>
        <v>0</v>
      </c>
      <c r="F19" s="86">
        <f t="shared" si="0"/>
        <v>527.29999999999995</v>
      </c>
      <c r="G19" s="86">
        <f>SUM(G20:G26)</f>
        <v>124.4</v>
      </c>
      <c r="H19" s="86">
        <f>SUM(H20:H26)</f>
        <v>137.9</v>
      </c>
      <c r="I19" s="86">
        <f>SUM(I20:I26)</f>
        <v>133.1</v>
      </c>
      <c r="J19" s="86">
        <f>SUM(J20:J26)</f>
        <v>131.9</v>
      </c>
    </row>
    <row r="20" spans="1:11">
      <c r="A20" s="87" t="s">
        <v>389</v>
      </c>
      <c r="B20" s="80">
        <v>2112</v>
      </c>
      <c r="C20" s="106"/>
      <c r="D20" s="106"/>
      <c r="E20" s="106"/>
      <c r="F20" s="106">
        <f t="shared" si="0"/>
        <v>0</v>
      </c>
      <c r="G20" s="106"/>
      <c r="H20" s="106"/>
      <c r="I20" s="106"/>
      <c r="J20" s="106"/>
    </row>
    <row r="21" spans="1:11" s="30" customFormat="1" ht="37.5">
      <c r="A21" s="76" t="s">
        <v>390</v>
      </c>
      <c r="B21" s="91">
        <v>2113</v>
      </c>
      <c r="C21" s="106" t="s">
        <v>220</v>
      </c>
      <c r="D21" s="106" t="s">
        <v>220</v>
      </c>
      <c r="E21" s="106" t="s">
        <v>220</v>
      </c>
      <c r="F21" s="106">
        <f t="shared" si="0"/>
        <v>0</v>
      </c>
      <c r="G21" s="106" t="s">
        <v>220</v>
      </c>
      <c r="H21" s="106" t="s">
        <v>220</v>
      </c>
      <c r="I21" s="106" t="s">
        <v>220</v>
      </c>
      <c r="J21" s="106" t="s">
        <v>220</v>
      </c>
    </row>
    <row r="22" spans="1:11">
      <c r="A22" s="76" t="s">
        <v>79</v>
      </c>
      <c r="B22" s="91">
        <v>2114</v>
      </c>
      <c r="C22" s="106"/>
      <c r="D22" s="106"/>
      <c r="E22" s="106"/>
      <c r="F22" s="106">
        <f t="shared" si="0"/>
        <v>0</v>
      </c>
      <c r="G22" s="106"/>
      <c r="H22" s="106"/>
      <c r="I22" s="106"/>
      <c r="J22" s="106"/>
    </row>
    <row r="23" spans="1:11">
      <c r="A23" s="76" t="s">
        <v>95</v>
      </c>
      <c r="B23" s="91">
        <v>2116</v>
      </c>
      <c r="C23" s="106"/>
      <c r="D23" s="106"/>
      <c r="E23" s="106"/>
      <c r="F23" s="106">
        <f t="shared" si="0"/>
        <v>0</v>
      </c>
      <c r="G23" s="106"/>
      <c r="H23" s="106"/>
      <c r="I23" s="106"/>
      <c r="J23" s="106"/>
    </row>
    <row r="24" spans="1:11">
      <c r="A24" s="76" t="s">
        <v>329</v>
      </c>
      <c r="B24" s="91">
        <v>2117</v>
      </c>
      <c r="C24" s="106"/>
      <c r="D24" s="106"/>
      <c r="E24" s="106"/>
      <c r="F24" s="106">
        <f t="shared" si="0"/>
        <v>0</v>
      </c>
      <c r="G24" s="106"/>
      <c r="H24" s="106"/>
      <c r="I24" s="106"/>
      <c r="J24" s="106"/>
    </row>
    <row r="25" spans="1:11">
      <c r="A25" s="76" t="s">
        <v>78</v>
      </c>
      <c r="B25" s="91">
        <v>2118</v>
      </c>
      <c r="C25" s="106"/>
      <c r="D25" s="106"/>
      <c r="E25" s="106"/>
      <c r="F25" s="106">
        <f t="shared" si="0"/>
        <v>0</v>
      </c>
      <c r="G25" s="106"/>
      <c r="H25" s="106"/>
      <c r="I25" s="106"/>
      <c r="J25" s="106"/>
    </row>
    <row r="26" spans="1:11" s="32" customFormat="1">
      <c r="A26" s="76" t="s">
        <v>411</v>
      </c>
      <c r="B26" s="91">
        <v>2119</v>
      </c>
      <c r="C26" s="86"/>
      <c r="D26" s="106"/>
      <c r="E26" s="106"/>
      <c r="F26" s="106">
        <f t="shared" si="0"/>
        <v>527.29999999999995</v>
      </c>
      <c r="G26" s="106">
        <v>124.4</v>
      </c>
      <c r="H26" s="106">
        <v>137.9</v>
      </c>
      <c r="I26" s="106">
        <v>133.1</v>
      </c>
      <c r="J26" s="106">
        <v>131.9</v>
      </c>
      <c r="K26" s="29"/>
    </row>
    <row r="27" spans="1:11" s="32" customFormat="1" ht="37.5">
      <c r="A27" s="90" t="s">
        <v>317</v>
      </c>
      <c r="B27" s="112">
        <v>2120</v>
      </c>
      <c r="C27" s="86">
        <f>SUM(C28:C31)</f>
        <v>0</v>
      </c>
      <c r="D27" s="86">
        <f>SUM(D28:D31)</f>
        <v>0</v>
      </c>
      <c r="E27" s="86">
        <f>SUM(E28:E31)</f>
        <v>0</v>
      </c>
      <c r="F27" s="86">
        <f>SUM(G27:J27)</f>
        <v>6134.5</v>
      </c>
      <c r="G27" s="86">
        <f>SUM(G28:G31)</f>
        <v>1437.6</v>
      </c>
      <c r="H27" s="86">
        <f>SUM(H28:H31)</f>
        <v>1601.8</v>
      </c>
      <c r="I27" s="86">
        <f>SUM(I28:I31)</f>
        <v>1547.3</v>
      </c>
      <c r="J27" s="86">
        <f>SUM(J28:J31)</f>
        <v>1547.8</v>
      </c>
      <c r="K27" s="29"/>
    </row>
    <row r="28" spans="1:11" s="32" customFormat="1">
      <c r="A28" s="76" t="s">
        <v>78</v>
      </c>
      <c r="B28" s="91">
        <v>2121</v>
      </c>
      <c r="C28" s="106"/>
      <c r="D28" s="106"/>
      <c r="E28" s="106"/>
      <c r="F28" s="106">
        <f t="shared" si="0"/>
        <v>6133.7</v>
      </c>
      <c r="G28" s="106">
        <v>1436.8</v>
      </c>
      <c r="H28" s="106">
        <v>1601.8</v>
      </c>
      <c r="I28" s="106">
        <v>1547.3</v>
      </c>
      <c r="J28" s="106">
        <v>1547.8</v>
      </c>
      <c r="K28" s="29"/>
    </row>
    <row r="29" spans="1:11" s="32" customFormat="1">
      <c r="A29" s="76" t="s">
        <v>322</v>
      </c>
      <c r="B29" s="91">
        <v>2122</v>
      </c>
      <c r="C29" s="106"/>
      <c r="D29" s="106"/>
      <c r="E29" s="106"/>
      <c r="F29" s="106">
        <f t="shared" si="0"/>
        <v>0.8</v>
      </c>
      <c r="G29" s="106">
        <v>0.8</v>
      </c>
      <c r="H29" s="106"/>
      <c r="I29" s="106"/>
      <c r="J29" s="106"/>
      <c r="K29" s="29"/>
    </row>
    <row r="30" spans="1:11" s="32" customFormat="1">
      <c r="A30" s="76" t="s">
        <v>323</v>
      </c>
      <c r="B30" s="91">
        <v>2123</v>
      </c>
      <c r="C30" s="106"/>
      <c r="D30" s="106"/>
      <c r="E30" s="106"/>
      <c r="F30" s="106">
        <f t="shared" si="0"/>
        <v>0</v>
      </c>
      <c r="G30" s="106"/>
      <c r="H30" s="106"/>
      <c r="I30" s="106"/>
      <c r="J30" s="106"/>
      <c r="K30" s="29"/>
    </row>
    <row r="31" spans="1:11" s="32" customFormat="1">
      <c r="A31" s="76" t="s">
        <v>316</v>
      </c>
      <c r="B31" s="91">
        <v>2124</v>
      </c>
      <c r="C31" s="106"/>
      <c r="D31" s="106"/>
      <c r="E31" s="106"/>
      <c r="F31" s="106">
        <f t="shared" si="0"/>
        <v>0</v>
      </c>
      <c r="G31" s="106"/>
      <c r="H31" s="106"/>
      <c r="I31" s="106"/>
      <c r="J31" s="106"/>
      <c r="K31" s="29"/>
    </row>
    <row r="32" spans="1:11" s="32" customFormat="1">
      <c r="A32" s="90" t="s">
        <v>387</v>
      </c>
      <c r="B32" s="112">
        <v>2130</v>
      </c>
      <c r="C32" s="86">
        <f>SUM(C33:C36)</f>
        <v>0</v>
      </c>
      <c r="D32" s="86">
        <f>SUM(D33:D36)</f>
        <v>0</v>
      </c>
      <c r="E32" s="86">
        <f>SUM(E33:E36)</f>
        <v>0</v>
      </c>
      <c r="F32" s="86">
        <f t="shared" si="0"/>
        <v>7980.5</v>
      </c>
      <c r="G32" s="86">
        <f>SUM(G33:G36)</f>
        <v>1873.4</v>
      </c>
      <c r="H32" s="86">
        <f>SUM(H33:H36)</f>
        <v>2023.4</v>
      </c>
      <c r="I32" s="86">
        <f>SUM(I33:I36)</f>
        <v>1999.7</v>
      </c>
      <c r="J32" s="86">
        <f>SUM(J33:J36)</f>
        <v>2084</v>
      </c>
      <c r="K32" s="29"/>
    </row>
    <row r="33" spans="1:12" ht="41.25" customHeight="1">
      <c r="A33" s="76" t="s">
        <v>386</v>
      </c>
      <c r="B33" s="91">
        <v>2131</v>
      </c>
      <c r="C33" s="106"/>
      <c r="D33" s="106"/>
      <c r="E33" s="106"/>
      <c r="F33" s="106">
        <f t="shared" si="0"/>
        <v>0</v>
      </c>
      <c r="G33" s="106"/>
      <c r="H33" s="106"/>
      <c r="I33" s="106"/>
      <c r="J33" s="106"/>
    </row>
    <row r="34" spans="1:12" ht="20.100000000000001" customHeight="1">
      <c r="A34" s="76" t="s">
        <v>318</v>
      </c>
      <c r="B34" s="91">
        <v>2132</v>
      </c>
      <c r="C34" s="106"/>
      <c r="D34" s="106"/>
      <c r="E34" s="106"/>
      <c r="F34" s="106">
        <f t="shared" si="0"/>
        <v>0</v>
      </c>
      <c r="G34" s="106"/>
      <c r="H34" s="106"/>
      <c r="I34" s="106"/>
      <c r="J34" s="106"/>
    </row>
    <row r="35" spans="1:12" ht="20.100000000000001" customHeight="1">
      <c r="A35" s="76" t="s">
        <v>319</v>
      </c>
      <c r="B35" s="91">
        <v>2133</v>
      </c>
      <c r="C35" s="106"/>
      <c r="D35" s="106"/>
      <c r="E35" s="106"/>
      <c r="F35" s="106">
        <f t="shared" si="0"/>
        <v>7712.4</v>
      </c>
      <c r="G35" s="106">
        <v>1808.5</v>
      </c>
      <c r="H35" s="106">
        <v>1953.4</v>
      </c>
      <c r="I35" s="106">
        <v>1932.5</v>
      </c>
      <c r="J35" s="106">
        <v>2018</v>
      </c>
    </row>
    <row r="36" spans="1:12" ht="20.100000000000001" customHeight="1">
      <c r="A36" s="76" t="s">
        <v>412</v>
      </c>
      <c r="B36" s="91">
        <v>2134</v>
      </c>
      <c r="C36" s="106"/>
      <c r="D36" s="106"/>
      <c r="E36" s="106"/>
      <c r="F36" s="106">
        <f t="shared" si="0"/>
        <v>268.10000000000002</v>
      </c>
      <c r="G36" s="106">
        <v>64.900000000000006</v>
      </c>
      <c r="H36" s="106">
        <v>70</v>
      </c>
      <c r="I36" s="106">
        <v>67.2</v>
      </c>
      <c r="J36" s="106">
        <v>66</v>
      </c>
    </row>
    <row r="37" spans="1:12" s="30" customFormat="1">
      <c r="A37" s="90" t="s">
        <v>320</v>
      </c>
      <c r="B37" s="112">
        <v>2140</v>
      </c>
      <c r="C37" s="86">
        <f>SUM(C38,C39)</f>
        <v>0</v>
      </c>
      <c r="D37" s="86">
        <f>SUM(D38,D39)</f>
        <v>0</v>
      </c>
      <c r="E37" s="86">
        <f>SUM(E38,E39)</f>
        <v>0</v>
      </c>
      <c r="F37" s="86">
        <f>SUM(G37:J37)</f>
        <v>0</v>
      </c>
      <c r="G37" s="86">
        <f>SUM(G38,G39)</f>
        <v>0</v>
      </c>
      <c r="H37" s="86">
        <f>SUM(H38,H39)</f>
        <v>0</v>
      </c>
      <c r="I37" s="86">
        <f>SUM(I38,I39)</f>
        <v>0</v>
      </c>
      <c r="J37" s="86">
        <f>SUM(J38,J39)</f>
        <v>0</v>
      </c>
    </row>
    <row r="38" spans="1:12" ht="42.75" customHeight="1">
      <c r="A38" s="76" t="s">
        <v>272</v>
      </c>
      <c r="B38" s="91">
        <v>2141</v>
      </c>
      <c r="C38" s="106"/>
      <c r="D38" s="106"/>
      <c r="E38" s="106"/>
      <c r="F38" s="106">
        <f t="shared" si="0"/>
        <v>0</v>
      </c>
      <c r="G38" s="106"/>
      <c r="H38" s="106"/>
      <c r="I38" s="106"/>
      <c r="J38" s="106"/>
    </row>
    <row r="39" spans="1:12" ht="20.100000000000001" customHeight="1">
      <c r="A39" s="76" t="s">
        <v>321</v>
      </c>
      <c r="B39" s="91">
        <v>2142</v>
      </c>
      <c r="C39" s="106"/>
      <c r="D39" s="106"/>
      <c r="E39" s="106"/>
      <c r="F39" s="106">
        <f t="shared" si="0"/>
        <v>0</v>
      </c>
      <c r="G39" s="106"/>
      <c r="H39" s="106"/>
      <c r="I39" s="106"/>
      <c r="J39" s="106"/>
    </row>
    <row r="40" spans="1:12" s="30" customFormat="1" ht="27.75" customHeight="1">
      <c r="A40" s="90" t="s">
        <v>388</v>
      </c>
      <c r="B40" s="112">
        <v>2200</v>
      </c>
      <c r="C40" s="86">
        <f>SUM(C19,C27,C32,C37)</f>
        <v>0</v>
      </c>
      <c r="D40" s="86">
        <f>SUM(D19,D27,D32,D37)</f>
        <v>0</v>
      </c>
      <c r="E40" s="86">
        <f>SUM(E19,E27,E32,E37)</f>
        <v>0</v>
      </c>
      <c r="F40" s="86">
        <f t="shared" si="0"/>
        <v>14642.3</v>
      </c>
      <c r="G40" s="86">
        <f>SUM(G19,G27,G32,G37)</f>
        <v>3435.4</v>
      </c>
      <c r="H40" s="86">
        <f>SUM(H19,H27,H32,H37)</f>
        <v>3763.1000000000004</v>
      </c>
      <c r="I40" s="86">
        <f>SUM(I19,I27,I32,I37)</f>
        <v>3680.1</v>
      </c>
      <c r="J40" s="86">
        <f>SUM(J19,J27,J32,J37)</f>
        <v>3763.7</v>
      </c>
      <c r="K40" s="29"/>
    </row>
    <row r="41" spans="1:12" s="30" customFormat="1" ht="20.100000000000001" customHeight="1">
      <c r="A41" s="113"/>
      <c r="B41" s="114"/>
      <c r="C41" s="115"/>
      <c r="D41" s="116"/>
      <c r="E41" s="116"/>
      <c r="F41" s="115"/>
      <c r="G41" s="116"/>
      <c r="H41" s="116"/>
      <c r="I41" s="116"/>
      <c r="J41" s="116"/>
    </row>
    <row r="42" spans="1:12" s="30" customFormat="1" ht="20.100000000000001" customHeight="1">
      <c r="A42" s="113"/>
      <c r="B42" s="114"/>
      <c r="C42" s="115"/>
      <c r="D42" s="116"/>
      <c r="E42" s="116"/>
      <c r="F42" s="115"/>
      <c r="G42" s="116"/>
      <c r="H42" s="116"/>
      <c r="I42" s="116"/>
      <c r="J42" s="116"/>
    </row>
    <row r="43" spans="1:12" s="30" customFormat="1" ht="10.5" customHeight="1">
      <c r="A43" s="113"/>
      <c r="B43" s="114"/>
      <c r="C43" s="115"/>
      <c r="D43" s="116"/>
      <c r="E43" s="116"/>
      <c r="F43" s="115"/>
      <c r="G43" s="116"/>
      <c r="H43" s="116"/>
      <c r="I43" s="116"/>
      <c r="J43" s="116"/>
    </row>
    <row r="44" spans="1:12" s="3" customFormat="1" ht="40.5" customHeight="1">
      <c r="A44" s="449" t="s">
        <v>745</v>
      </c>
      <c r="B44" s="109"/>
      <c r="C44" s="543" t="s">
        <v>96</v>
      </c>
      <c r="D44" s="544"/>
      <c r="E44" s="544"/>
      <c r="F44" s="544"/>
      <c r="G44" s="110"/>
      <c r="H44" s="545" t="s">
        <v>657</v>
      </c>
      <c r="I44" s="545"/>
      <c r="J44" s="545"/>
    </row>
    <row r="45" spans="1:12" s="2" customFormat="1" ht="20.100000000000001" customHeight="1">
      <c r="A45" s="184" t="s">
        <v>435</v>
      </c>
      <c r="B45" s="59"/>
      <c r="C45" s="503" t="s">
        <v>434</v>
      </c>
      <c r="D45" s="503"/>
      <c r="E45" s="503"/>
      <c r="F45" s="503"/>
      <c r="G45" s="64"/>
      <c r="H45" s="498" t="s">
        <v>92</v>
      </c>
      <c r="I45" s="498"/>
      <c r="J45" s="498"/>
    </row>
    <row r="46" spans="1:12" s="31" customFormat="1">
      <c r="A46" s="117"/>
      <c r="B46" s="114"/>
      <c r="C46" s="114"/>
      <c r="D46" s="114"/>
      <c r="E46" s="114"/>
      <c r="F46" s="118"/>
      <c r="G46" s="118"/>
      <c r="H46" s="118"/>
      <c r="I46" s="118"/>
      <c r="J46" s="118"/>
      <c r="K46" s="29"/>
      <c r="L46" s="29"/>
    </row>
    <row r="47" spans="1:12" s="31" customFormat="1">
      <c r="A47" s="117"/>
      <c r="B47" s="114"/>
      <c r="C47" s="114"/>
      <c r="D47" s="114"/>
      <c r="E47" s="114"/>
      <c r="F47" s="118"/>
      <c r="G47" s="118"/>
      <c r="H47" s="118"/>
      <c r="I47" s="118"/>
      <c r="J47" s="118"/>
      <c r="K47" s="29"/>
      <c r="L47" s="29"/>
    </row>
    <row r="48" spans="1:12" s="31" customFormat="1">
      <c r="A48" s="117"/>
      <c r="B48" s="114"/>
      <c r="C48" s="114"/>
      <c r="D48" s="114"/>
      <c r="E48" s="114"/>
      <c r="F48" s="118"/>
      <c r="G48" s="118"/>
      <c r="H48" s="118"/>
      <c r="I48" s="118"/>
      <c r="J48" s="118"/>
      <c r="K48" s="29"/>
      <c r="L48" s="29"/>
    </row>
    <row r="49" spans="1:12" s="31" customFormat="1">
      <c r="A49" s="117"/>
      <c r="B49" s="114"/>
      <c r="C49" s="114"/>
      <c r="D49" s="114"/>
      <c r="E49" s="114"/>
      <c r="F49" s="118"/>
      <c r="G49" s="118"/>
      <c r="H49" s="118"/>
      <c r="I49" s="118"/>
      <c r="J49" s="118"/>
      <c r="K49" s="29"/>
      <c r="L49" s="29"/>
    </row>
    <row r="50" spans="1:12" s="31" customFormat="1">
      <c r="A50" s="117"/>
      <c r="B50" s="114"/>
      <c r="C50" s="114"/>
      <c r="D50" s="114"/>
      <c r="E50" s="114"/>
      <c r="F50" s="118"/>
      <c r="G50" s="118"/>
      <c r="H50" s="118"/>
      <c r="I50" s="118"/>
      <c r="J50" s="118"/>
      <c r="K50" s="29"/>
      <c r="L50" s="29"/>
    </row>
    <row r="51" spans="1:12" s="31" customFormat="1">
      <c r="A51" s="117"/>
      <c r="B51" s="114"/>
      <c r="C51" s="114"/>
      <c r="D51" s="114"/>
      <c r="E51" s="114"/>
      <c r="F51" s="118"/>
      <c r="G51" s="118"/>
      <c r="H51" s="118"/>
      <c r="I51" s="118"/>
      <c r="J51" s="118"/>
      <c r="K51" s="29"/>
      <c r="L51" s="29"/>
    </row>
    <row r="52" spans="1:12" s="31" customFormat="1">
      <c r="A52" s="117"/>
      <c r="B52" s="114"/>
      <c r="C52" s="114"/>
      <c r="D52" s="114"/>
      <c r="E52" s="114"/>
      <c r="F52" s="118"/>
      <c r="G52" s="118"/>
      <c r="H52" s="118"/>
      <c r="I52" s="118"/>
      <c r="J52" s="118"/>
      <c r="K52" s="29"/>
      <c r="L52" s="29"/>
    </row>
    <row r="53" spans="1:12" s="31" customFormat="1">
      <c r="A53" s="117"/>
      <c r="B53" s="114"/>
      <c r="C53" s="114"/>
      <c r="D53" s="114"/>
      <c r="E53" s="114"/>
      <c r="F53" s="118"/>
      <c r="G53" s="118"/>
      <c r="H53" s="118"/>
      <c r="I53" s="118"/>
      <c r="J53" s="118"/>
      <c r="K53" s="29"/>
      <c r="L53" s="29"/>
    </row>
    <row r="54" spans="1:12" s="31" customFormat="1">
      <c r="A54" s="117"/>
      <c r="B54" s="114"/>
      <c r="C54" s="114"/>
      <c r="D54" s="114"/>
      <c r="E54" s="114"/>
      <c r="F54" s="118"/>
      <c r="G54" s="118"/>
      <c r="H54" s="118"/>
      <c r="I54" s="118"/>
      <c r="J54" s="118"/>
      <c r="K54" s="29"/>
      <c r="L54" s="29"/>
    </row>
    <row r="55" spans="1:12" s="31" customFormat="1">
      <c r="A55" s="117"/>
      <c r="B55" s="114"/>
      <c r="C55" s="114"/>
      <c r="D55" s="114"/>
      <c r="E55" s="114"/>
      <c r="F55" s="118"/>
      <c r="G55" s="118"/>
      <c r="H55" s="118"/>
      <c r="I55" s="118"/>
      <c r="J55" s="118"/>
      <c r="K55" s="29"/>
      <c r="L55" s="29"/>
    </row>
    <row r="56" spans="1:12" s="31" customFormat="1">
      <c r="A56" s="117"/>
      <c r="B56" s="114"/>
      <c r="C56" s="114"/>
      <c r="D56" s="114"/>
      <c r="E56" s="114"/>
      <c r="F56" s="118"/>
      <c r="G56" s="118"/>
      <c r="H56" s="118"/>
      <c r="I56" s="118"/>
      <c r="J56" s="118"/>
      <c r="K56" s="29"/>
      <c r="L56" s="29"/>
    </row>
    <row r="57" spans="1:12" s="31" customFormat="1">
      <c r="A57" s="117"/>
      <c r="B57" s="114"/>
      <c r="C57" s="114"/>
      <c r="D57" s="114"/>
      <c r="E57" s="114"/>
      <c r="F57" s="118"/>
      <c r="G57" s="118"/>
      <c r="H57" s="118"/>
      <c r="I57" s="118"/>
      <c r="J57" s="118"/>
      <c r="K57" s="29"/>
      <c r="L57" s="29"/>
    </row>
    <row r="58" spans="1:12" s="31" customFormat="1">
      <c r="A58" s="117"/>
      <c r="B58" s="114"/>
      <c r="C58" s="114"/>
      <c r="D58" s="114"/>
      <c r="E58" s="114"/>
      <c r="F58" s="118"/>
      <c r="G58" s="118"/>
      <c r="H58" s="118"/>
      <c r="I58" s="118"/>
      <c r="J58" s="118"/>
      <c r="K58" s="29"/>
      <c r="L58" s="29"/>
    </row>
    <row r="59" spans="1:12" s="31" customFormat="1">
      <c r="A59" s="117"/>
      <c r="B59" s="114"/>
      <c r="C59" s="114"/>
      <c r="D59" s="114"/>
      <c r="E59" s="114"/>
      <c r="F59" s="118"/>
      <c r="G59" s="118"/>
      <c r="H59" s="118"/>
      <c r="I59" s="118"/>
      <c r="J59" s="118"/>
      <c r="K59" s="29"/>
      <c r="L59" s="29"/>
    </row>
    <row r="60" spans="1:12" s="31" customFormat="1">
      <c r="A60" s="117"/>
      <c r="B60" s="114"/>
      <c r="C60" s="114"/>
      <c r="D60" s="114"/>
      <c r="E60" s="114"/>
      <c r="F60" s="118"/>
      <c r="G60" s="118"/>
      <c r="H60" s="118"/>
      <c r="I60" s="118"/>
      <c r="J60" s="118"/>
      <c r="K60" s="29"/>
      <c r="L60" s="29"/>
    </row>
    <row r="61" spans="1:12" s="31" customFormat="1">
      <c r="A61" s="117"/>
      <c r="B61" s="114"/>
      <c r="C61" s="114"/>
      <c r="D61" s="114"/>
      <c r="E61" s="114"/>
      <c r="F61" s="118"/>
      <c r="G61" s="118"/>
      <c r="H61" s="118"/>
      <c r="I61" s="118"/>
      <c r="J61" s="118"/>
      <c r="K61" s="29"/>
      <c r="L61" s="29"/>
    </row>
    <row r="62" spans="1:12" s="31" customFormat="1">
      <c r="A62" s="117"/>
      <c r="B62" s="114"/>
      <c r="C62" s="114"/>
      <c r="D62" s="114"/>
      <c r="E62" s="114"/>
      <c r="F62" s="118"/>
      <c r="G62" s="118"/>
      <c r="H62" s="118"/>
      <c r="I62" s="118"/>
      <c r="J62" s="118"/>
      <c r="K62" s="29"/>
      <c r="L62" s="29"/>
    </row>
    <row r="63" spans="1:12" s="31" customFormat="1">
      <c r="A63" s="117"/>
      <c r="B63" s="114"/>
      <c r="C63" s="114"/>
      <c r="D63" s="114"/>
      <c r="E63" s="114"/>
      <c r="F63" s="118"/>
      <c r="G63" s="118"/>
      <c r="H63" s="118"/>
      <c r="I63" s="118"/>
      <c r="J63" s="118"/>
      <c r="K63" s="29"/>
      <c r="L63" s="29"/>
    </row>
    <row r="64" spans="1:12" s="31" customFormat="1">
      <c r="A64" s="117"/>
      <c r="B64" s="114"/>
      <c r="C64" s="114"/>
      <c r="D64" s="114"/>
      <c r="E64" s="114"/>
      <c r="F64" s="118"/>
      <c r="G64" s="118"/>
      <c r="H64" s="118"/>
      <c r="I64" s="118"/>
      <c r="J64" s="118"/>
      <c r="K64" s="29"/>
      <c r="L64" s="29"/>
    </row>
    <row r="65" spans="1:12" s="31" customFormat="1">
      <c r="A65" s="117"/>
      <c r="B65" s="114"/>
      <c r="C65" s="114"/>
      <c r="D65" s="114"/>
      <c r="E65" s="114"/>
      <c r="F65" s="118"/>
      <c r="G65" s="118"/>
      <c r="H65" s="118"/>
      <c r="I65" s="118"/>
      <c r="J65" s="118"/>
      <c r="K65" s="29"/>
      <c r="L65" s="29"/>
    </row>
    <row r="66" spans="1:12" s="31" customFormat="1">
      <c r="A66" s="117"/>
      <c r="B66" s="114"/>
      <c r="C66" s="114"/>
      <c r="D66" s="114"/>
      <c r="E66" s="114"/>
      <c r="F66" s="118"/>
      <c r="G66" s="118"/>
      <c r="H66" s="118"/>
      <c r="I66" s="118"/>
      <c r="J66" s="118"/>
      <c r="K66" s="29"/>
      <c r="L66" s="29"/>
    </row>
    <row r="67" spans="1:12" s="31" customFormat="1">
      <c r="A67" s="117"/>
      <c r="B67" s="114"/>
      <c r="C67" s="114"/>
      <c r="D67" s="114"/>
      <c r="E67" s="114"/>
      <c r="F67" s="118"/>
      <c r="G67" s="118"/>
      <c r="H67" s="118"/>
      <c r="I67" s="118"/>
      <c r="J67" s="118"/>
      <c r="K67" s="29"/>
      <c r="L67" s="29"/>
    </row>
    <row r="68" spans="1:12" s="31" customFormat="1">
      <c r="A68" s="117"/>
      <c r="B68" s="114"/>
      <c r="C68" s="114"/>
      <c r="D68" s="114"/>
      <c r="E68" s="114"/>
      <c r="F68" s="118"/>
      <c r="G68" s="118"/>
      <c r="H68" s="118"/>
      <c r="I68" s="118"/>
      <c r="J68" s="118"/>
      <c r="K68" s="29"/>
      <c r="L68" s="29"/>
    </row>
    <row r="69" spans="1:12" s="31" customFormat="1">
      <c r="A69" s="117"/>
      <c r="B69" s="114"/>
      <c r="C69" s="114"/>
      <c r="D69" s="114"/>
      <c r="E69" s="114"/>
      <c r="F69" s="118"/>
      <c r="G69" s="118"/>
      <c r="H69" s="118"/>
      <c r="I69" s="118"/>
      <c r="J69" s="118"/>
      <c r="K69" s="29"/>
      <c r="L69" s="29"/>
    </row>
    <row r="70" spans="1:12" s="31" customFormat="1">
      <c r="A70" s="117"/>
      <c r="B70" s="114"/>
      <c r="C70" s="114"/>
      <c r="D70" s="114"/>
      <c r="E70" s="114"/>
      <c r="F70" s="118"/>
      <c r="G70" s="118"/>
      <c r="H70" s="118"/>
      <c r="I70" s="118"/>
      <c r="J70" s="118"/>
      <c r="K70" s="29"/>
      <c r="L70" s="29"/>
    </row>
    <row r="71" spans="1:12" s="31" customFormat="1">
      <c r="A71" s="117"/>
      <c r="B71" s="114"/>
      <c r="C71" s="114"/>
      <c r="D71" s="114"/>
      <c r="E71" s="114"/>
      <c r="F71" s="118"/>
      <c r="G71" s="118"/>
      <c r="H71" s="118"/>
      <c r="I71" s="118"/>
      <c r="J71" s="118"/>
      <c r="K71" s="29"/>
      <c r="L71" s="29"/>
    </row>
    <row r="72" spans="1:12" s="31" customFormat="1">
      <c r="A72" s="117"/>
      <c r="B72" s="114"/>
      <c r="C72" s="114"/>
      <c r="D72" s="114"/>
      <c r="E72" s="114"/>
      <c r="F72" s="118"/>
      <c r="G72" s="118"/>
      <c r="H72" s="118"/>
      <c r="I72" s="118"/>
      <c r="J72" s="118"/>
      <c r="K72" s="29"/>
      <c r="L72" s="29"/>
    </row>
    <row r="73" spans="1:12" s="31" customFormat="1">
      <c r="A73" s="117"/>
      <c r="B73" s="114"/>
      <c r="C73" s="114"/>
      <c r="D73" s="114"/>
      <c r="E73" s="114"/>
      <c r="F73" s="118"/>
      <c r="G73" s="118"/>
      <c r="H73" s="118"/>
      <c r="I73" s="118"/>
      <c r="J73" s="118"/>
      <c r="K73" s="29"/>
      <c r="L73" s="29"/>
    </row>
    <row r="74" spans="1:12" s="31" customFormat="1">
      <c r="A74" s="117"/>
      <c r="B74" s="114"/>
      <c r="C74" s="114"/>
      <c r="D74" s="114"/>
      <c r="E74" s="114"/>
      <c r="F74" s="118"/>
      <c r="G74" s="118"/>
      <c r="H74" s="118"/>
      <c r="I74" s="118"/>
      <c r="J74" s="118"/>
      <c r="K74" s="29"/>
      <c r="L74" s="29"/>
    </row>
    <row r="75" spans="1:12" s="31" customFormat="1">
      <c r="A75" s="117"/>
      <c r="B75" s="114"/>
      <c r="C75" s="114"/>
      <c r="D75" s="114"/>
      <c r="E75" s="114"/>
      <c r="F75" s="118"/>
      <c r="G75" s="118"/>
      <c r="H75" s="118"/>
      <c r="I75" s="118"/>
      <c r="J75" s="118"/>
      <c r="K75" s="29"/>
      <c r="L75" s="29"/>
    </row>
    <row r="76" spans="1:12" s="31" customFormat="1">
      <c r="A76" s="117"/>
      <c r="B76" s="114"/>
      <c r="C76" s="114"/>
      <c r="D76" s="114"/>
      <c r="E76" s="114"/>
      <c r="F76" s="118"/>
      <c r="G76" s="118"/>
      <c r="H76" s="118"/>
      <c r="I76" s="118"/>
      <c r="J76" s="118"/>
      <c r="K76" s="29"/>
      <c r="L76" s="29"/>
    </row>
    <row r="77" spans="1:12" s="31" customFormat="1">
      <c r="A77" s="117"/>
      <c r="B77" s="114"/>
      <c r="C77" s="114"/>
      <c r="D77" s="114"/>
      <c r="E77" s="114"/>
      <c r="F77" s="118"/>
      <c r="G77" s="118"/>
      <c r="H77" s="118"/>
      <c r="I77" s="118"/>
      <c r="J77" s="118"/>
      <c r="K77" s="29"/>
      <c r="L77" s="29"/>
    </row>
    <row r="78" spans="1:12" s="31" customFormat="1">
      <c r="A78" s="117"/>
      <c r="B78" s="114"/>
      <c r="C78" s="114"/>
      <c r="D78" s="114"/>
      <c r="E78" s="114"/>
      <c r="F78" s="118"/>
      <c r="G78" s="118"/>
      <c r="H78" s="118"/>
      <c r="I78" s="118"/>
      <c r="J78" s="118"/>
      <c r="K78" s="29"/>
      <c r="L78" s="29"/>
    </row>
    <row r="79" spans="1:12" s="31" customFormat="1">
      <c r="A79" s="117"/>
      <c r="B79" s="114"/>
      <c r="C79" s="114"/>
      <c r="D79" s="114"/>
      <c r="E79" s="114"/>
      <c r="F79" s="118"/>
      <c r="G79" s="118"/>
      <c r="H79" s="118"/>
      <c r="I79" s="118"/>
      <c r="J79" s="118"/>
      <c r="K79" s="29"/>
      <c r="L79" s="29"/>
    </row>
    <row r="80" spans="1:12" s="31" customFormat="1">
      <c r="A80" s="117"/>
      <c r="B80" s="114"/>
      <c r="C80" s="114"/>
      <c r="D80" s="114"/>
      <c r="E80" s="114"/>
      <c r="F80" s="118"/>
      <c r="G80" s="118"/>
      <c r="H80" s="118"/>
      <c r="I80" s="118"/>
      <c r="J80" s="118"/>
      <c r="K80" s="29"/>
      <c r="L80" s="29"/>
    </row>
    <row r="81" spans="1:12" s="31" customFormat="1">
      <c r="A81" s="117"/>
      <c r="B81" s="114"/>
      <c r="C81" s="114"/>
      <c r="D81" s="114"/>
      <c r="E81" s="114"/>
      <c r="F81" s="118"/>
      <c r="G81" s="118"/>
      <c r="H81" s="118"/>
      <c r="I81" s="118"/>
      <c r="J81" s="118"/>
      <c r="K81" s="29"/>
      <c r="L81" s="29"/>
    </row>
    <row r="82" spans="1:12" s="31" customFormat="1">
      <c r="A82" s="117"/>
      <c r="B82" s="114"/>
      <c r="C82" s="114"/>
      <c r="D82" s="114"/>
      <c r="E82" s="114"/>
      <c r="F82" s="118"/>
      <c r="G82" s="118"/>
      <c r="H82" s="118"/>
      <c r="I82" s="118"/>
      <c r="J82" s="118"/>
      <c r="K82" s="29"/>
      <c r="L82" s="29"/>
    </row>
    <row r="83" spans="1:12" s="31" customFormat="1">
      <c r="A83" s="117"/>
      <c r="B83" s="114"/>
      <c r="C83" s="114"/>
      <c r="D83" s="114"/>
      <c r="E83" s="114"/>
      <c r="F83" s="118"/>
      <c r="G83" s="118"/>
      <c r="H83" s="118"/>
      <c r="I83" s="118"/>
      <c r="J83" s="118"/>
      <c r="K83" s="29"/>
      <c r="L83" s="29"/>
    </row>
    <row r="84" spans="1:12" s="31" customFormat="1">
      <c r="A84" s="117"/>
      <c r="B84" s="114"/>
      <c r="C84" s="114"/>
      <c r="D84" s="114"/>
      <c r="E84" s="114"/>
      <c r="F84" s="118"/>
      <c r="G84" s="118"/>
      <c r="H84" s="118"/>
      <c r="I84" s="118"/>
      <c r="J84" s="118"/>
      <c r="K84" s="29"/>
      <c r="L84" s="29"/>
    </row>
    <row r="85" spans="1:12" s="31" customFormat="1">
      <c r="A85" s="117"/>
      <c r="B85" s="114"/>
      <c r="C85" s="114"/>
      <c r="D85" s="114"/>
      <c r="E85" s="114"/>
      <c r="F85" s="118"/>
      <c r="G85" s="118"/>
      <c r="H85" s="118"/>
      <c r="I85" s="118"/>
      <c r="J85" s="118"/>
      <c r="K85" s="29"/>
      <c r="L85" s="29"/>
    </row>
    <row r="86" spans="1:12" s="31" customFormat="1">
      <c r="A86" s="42"/>
      <c r="F86" s="29"/>
      <c r="G86" s="29"/>
      <c r="H86" s="29"/>
      <c r="I86" s="29"/>
      <c r="J86" s="29"/>
      <c r="K86" s="29"/>
      <c r="L86" s="29"/>
    </row>
    <row r="87" spans="1:12" s="31" customFormat="1">
      <c r="A87" s="42"/>
      <c r="F87" s="29"/>
      <c r="G87" s="29"/>
      <c r="H87" s="29"/>
      <c r="I87" s="29"/>
      <c r="J87" s="29"/>
      <c r="K87" s="29"/>
      <c r="L87" s="29"/>
    </row>
    <row r="88" spans="1:12" s="31" customFormat="1">
      <c r="A88" s="42"/>
      <c r="F88" s="29"/>
      <c r="G88" s="29"/>
      <c r="H88" s="29"/>
      <c r="I88" s="29"/>
      <c r="J88" s="29"/>
      <c r="K88" s="29"/>
      <c r="L88" s="29"/>
    </row>
    <row r="89" spans="1:12" s="31" customFormat="1">
      <c r="A89" s="42"/>
      <c r="F89" s="29"/>
      <c r="G89" s="29"/>
      <c r="H89" s="29"/>
      <c r="I89" s="29"/>
      <c r="J89" s="29"/>
      <c r="K89" s="29"/>
      <c r="L89" s="29"/>
    </row>
    <row r="90" spans="1:12" s="31" customFormat="1">
      <c r="A90" s="42"/>
      <c r="F90" s="29"/>
      <c r="G90" s="29"/>
      <c r="H90" s="29"/>
      <c r="I90" s="29"/>
      <c r="J90" s="29"/>
      <c r="K90" s="29"/>
      <c r="L90" s="29"/>
    </row>
    <row r="91" spans="1:12" s="31" customFormat="1">
      <c r="A91" s="42"/>
      <c r="F91" s="29"/>
      <c r="G91" s="29"/>
      <c r="H91" s="29"/>
      <c r="I91" s="29"/>
      <c r="J91" s="29"/>
      <c r="K91" s="29"/>
      <c r="L91" s="29"/>
    </row>
    <row r="92" spans="1:12" s="31" customFormat="1">
      <c r="A92" s="42"/>
      <c r="F92" s="29"/>
      <c r="G92" s="29"/>
      <c r="H92" s="29"/>
      <c r="I92" s="29"/>
      <c r="J92" s="29"/>
      <c r="K92" s="29"/>
      <c r="L92" s="29"/>
    </row>
    <row r="93" spans="1:12" s="31" customFormat="1">
      <c r="A93" s="42"/>
      <c r="F93" s="29"/>
      <c r="G93" s="29"/>
      <c r="H93" s="29"/>
      <c r="I93" s="29"/>
      <c r="J93" s="29"/>
      <c r="K93" s="29"/>
      <c r="L93" s="29"/>
    </row>
    <row r="94" spans="1:12" s="31" customFormat="1">
      <c r="A94" s="42"/>
      <c r="F94" s="29"/>
      <c r="G94" s="29"/>
      <c r="H94" s="29"/>
      <c r="I94" s="29"/>
      <c r="J94" s="29"/>
      <c r="K94" s="29"/>
      <c r="L94" s="29"/>
    </row>
    <row r="95" spans="1:12" s="31" customFormat="1">
      <c r="A95" s="42"/>
      <c r="F95" s="29"/>
      <c r="G95" s="29"/>
      <c r="H95" s="29"/>
      <c r="I95" s="29"/>
      <c r="J95" s="29"/>
      <c r="K95" s="29"/>
      <c r="L95" s="29"/>
    </row>
    <row r="96" spans="1:12" s="31" customFormat="1">
      <c r="A96" s="42"/>
      <c r="F96" s="29"/>
      <c r="G96" s="29"/>
      <c r="H96" s="29"/>
      <c r="I96" s="29"/>
      <c r="J96" s="29"/>
      <c r="K96" s="29"/>
      <c r="L96" s="29"/>
    </row>
    <row r="97" spans="1:12" s="31" customFormat="1">
      <c r="A97" s="42"/>
      <c r="F97" s="29"/>
      <c r="G97" s="29"/>
      <c r="H97" s="29"/>
      <c r="I97" s="29"/>
      <c r="J97" s="29"/>
      <c r="K97" s="29"/>
      <c r="L97" s="29"/>
    </row>
    <row r="98" spans="1:12" s="31" customFormat="1">
      <c r="A98" s="42"/>
      <c r="F98" s="29"/>
      <c r="G98" s="29"/>
      <c r="H98" s="29"/>
      <c r="I98" s="29"/>
      <c r="J98" s="29"/>
      <c r="K98" s="29"/>
      <c r="L98" s="29"/>
    </row>
    <row r="99" spans="1:12" s="31" customFormat="1">
      <c r="A99" s="42"/>
      <c r="F99" s="29"/>
      <c r="G99" s="29"/>
      <c r="H99" s="29"/>
      <c r="I99" s="29"/>
      <c r="J99" s="29"/>
      <c r="K99" s="29"/>
      <c r="L99" s="29"/>
    </row>
    <row r="100" spans="1:12" s="31" customFormat="1">
      <c r="A100" s="42"/>
      <c r="F100" s="29"/>
      <c r="G100" s="29"/>
      <c r="H100" s="29"/>
      <c r="I100" s="29"/>
      <c r="J100" s="29"/>
      <c r="K100" s="29"/>
      <c r="L100" s="29"/>
    </row>
    <row r="101" spans="1:12" s="31" customFormat="1">
      <c r="A101" s="42"/>
      <c r="F101" s="29"/>
      <c r="G101" s="29"/>
      <c r="H101" s="29"/>
      <c r="I101" s="29"/>
      <c r="J101" s="29"/>
      <c r="K101" s="29"/>
      <c r="L101" s="29"/>
    </row>
    <row r="102" spans="1:12" s="31" customFormat="1">
      <c r="A102" s="42"/>
      <c r="F102" s="29"/>
      <c r="G102" s="29"/>
      <c r="H102" s="29"/>
      <c r="I102" s="29"/>
      <c r="J102" s="29"/>
      <c r="K102" s="29"/>
      <c r="L102" s="29"/>
    </row>
    <row r="103" spans="1:12" s="31" customFormat="1">
      <c r="A103" s="42"/>
      <c r="F103" s="29"/>
      <c r="G103" s="29"/>
      <c r="H103" s="29"/>
      <c r="I103" s="29"/>
      <c r="J103" s="29"/>
      <c r="K103" s="29"/>
      <c r="L103" s="29"/>
    </row>
    <row r="104" spans="1:12" s="31" customFormat="1">
      <c r="A104" s="42"/>
      <c r="F104" s="29"/>
      <c r="G104" s="29"/>
      <c r="H104" s="29"/>
      <c r="I104" s="29"/>
      <c r="J104" s="29"/>
      <c r="K104" s="29"/>
      <c r="L104" s="29"/>
    </row>
    <row r="105" spans="1:12" s="31" customFormat="1">
      <c r="A105" s="42"/>
      <c r="F105" s="29"/>
      <c r="G105" s="29"/>
      <c r="H105" s="29"/>
      <c r="I105" s="29"/>
      <c r="J105" s="29"/>
      <c r="K105" s="29"/>
      <c r="L105" s="29"/>
    </row>
    <row r="106" spans="1:12" s="31" customFormat="1">
      <c r="A106" s="42"/>
      <c r="F106" s="29"/>
      <c r="G106" s="29"/>
      <c r="H106" s="29"/>
      <c r="I106" s="29"/>
      <c r="J106" s="29"/>
      <c r="K106" s="29"/>
      <c r="L106" s="29"/>
    </row>
    <row r="107" spans="1:12" s="31" customFormat="1">
      <c r="A107" s="42"/>
      <c r="F107" s="29"/>
      <c r="G107" s="29"/>
      <c r="H107" s="29"/>
      <c r="I107" s="29"/>
      <c r="J107" s="29"/>
      <c r="K107" s="29"/>
      <c r="L107" s="29"/>
    </row>
    <row r="108" spans="1:12" s="31" customFormat="1">
      <c r="A108" s="42"/>
      <c r="F108" s="29"/>
      <c r="G108" s="29"/>
      <c r="H108" s="29"/>
      <c r="I108" s="29"/>
      <c r="J108" s="29"/>
      <c r="K108" s="29"/>
      <c r="L108" s="29"/>
    </row>
    <row r="109" spans="1:12" s="31" customFormat="1">
      <c r="A109" s="42"/>
      <c r="F109" s="29"/>
      <c r="G109" s="29"/>
      <c r="H109" s="29"/>
      <c r="I109" s="29"/>
      <c r="J109" s="29"/>
      <c r="K109" s="29"/>
      <c r="L109" s="29"/>
    </row>
    <row r="110" spans="1:12" s="31" customFormat="1">
      <c r="A110" s="42"/>
      <c r="F110" s="29"/>
      <c r="G110" s="29"/>
      <c r="H110" s="29"/>
      <c r="I110" s="29"/>
      <c r="J110" s="29"/>
      <c r="K110" s="29"/>
      <c r="L110" s="29"/>
    </row>
    <row r="111" spans="1:12" s="31" customFormat="1">
      <c r="A111" s="42"/>
      <c r="F111" s="29"/>
      <c r="G111" s="29"/>
      <c r="H111" s="29"/>
      <c r="I111" s="29"/>
      <c r="J111" s="29"/>
      <c r="K111" s="29"/>
      <c r="L111" s="29"/>
    </row>
    <row r="112" spans="1:12" s="31" customFormat="1">
      <c r="A112" s="42"/>
      <c r="F112" s="29"/>
      <c r="G112" s="29"/>
      <c r="H112" s="29"/>
      <c r="I112" s="29"/>
      <c r="J112" s="29"/>
      <c r="K112" s="29"/>
      <c r="L112" s="29"/>
    </row>
    <row r="113" spans="1:12" s="31" customFormat="1">
      <c r="A113" s="42"/>
      <c r="F113" s="29"/>
      <c r="G113" s="29"/>
      <c r="H113" s="29"/>
      <c r="I113" s="29"/>
      <c r="J113" s="29"/>
      <c r="K113" s="29"/>
      <c r="L113" s="29"/>
    </row>
    <row r="114" spans="1:12" s="31" customFormat="1">
      <c r="A114" s="42"/>
      <c r="F114" s="29"/>
      <c r="G114" s="29"/>
      <c r="H114" s="29"/>
      <c r="I114" s="29"/>
      <c r="J114" s="29"/>
      <c r="K114" s="29"/>
      <c r="L114" s="29"/>
    </row>
    <row r="115" spans="1:12" s="31" customFormat="1">
      <c r="A115" s="42"/>
      <c r="F115" s="29"/>
      <c r="G115" s="29"/>
      <c r="H115" s="29"/>
      <c r="I115" s="29"/>
      <c r="J115" s="29"/>
      <c r="K115" s="29"/>
      <c r="L115" s="29"/>
    </row>
    <row r="116" spans="1:12" s="31" customFormat="1">
      <c r="A116" s="42"/>
      <c r="F116" s="29"/>
      <c r="G116" s="29"/>
      <c r="H116" s="29"/>
      <c r="I116" s="29"/>
      <c r="J116" s="29"/>
      <c r="K116" s="29"/>
      <c r="L116" s="29"/>
    </row>
    <row r="117" spans="1:12" s="31" customFormat="1">
      <c r="A117" s="42"/>
      <c r="F117" s="29"/>
      <c r="G117" s="29"/>
      <c r="H117" s="29"/>
      <c r="I117" s="29"/>
      <c r="J117" s="29"/>
      <c r="K117" s="29"/>
      <c r="L117" s="29"/>
    </row>
    <row r="118" spans="1:12" s="31" customFormat="1">
      <c r="A118" s="42"/>
      <c r="F118" s="29"/>
      <c r="G118" s="29"/>
      <c r="H118" s="29"/>
      <c r="I118" s="29"/>
      <c r="J118" s="29"/>
      <c r="K118" s="29"/>
      <c r="L118" s="29"/>
    </row>
    <row r="119" spans="1:12" s="31" customFormat="1">
      <c r="A119" s="42"/>
      <c r="F119" s="29"/>
      <c r="G119" s="29"/>
      <c r="H119" s="29"/>
      <c r="I119" s="29"/>
      <c r="J119" s="29"/>
      <c r="K119" s="29"/>
      <c r="L119" s="29"/>
    </row>
    <row r="120" spans="1:12" s="31" customFormat="1">
      <c r="A120" s="42"/>
      <c r="F120" s="29"/>
      <c r="G120" s="29"/>
      <c r="H120" s="29"/>
      <c r="I120" s="29"/>
      <c r="J120" s="29"/>
      <c r="K120" s="29"/>
      <c r="L120" s="29"/>
    </row>
    <row r="121" spans="1:12" s="31" customFormat="1">
      <c r="A121" s="42"/>
      <c r="F121" s="29"/>
      <c r="G121" s="29"/>
      <c r="H121" s="29"/>
      <c r="I121" s="29"/>
      <c r="J121" s="29"/>
      <c r="K121" s="29"/>
      <c r="L121" s="29"/>
    </row>
    <row r="122" spans="1:12" s="31" customFormat="1">
      <c r="A122" s="42"/>
      <c r="F122" s="29"/>
      <c r="G122" s="29"/>
      <c r="H122" s="29"/>
      <c r="I122" s="29"/>
      <c r="J122" s="29"/>
      <c r="K122" s="29"/>
      <c r="L122" s="29"/>
    </row>
    <row r="123" spans="1:12" s="31" customFormat="1">
      <c r="A123" s="42"/>
      <c r="F123" s="29"/>
      <c r="G123" s="29"/>
      <c r="H123" s="29"/>
      <c r="I123" s="29"/>
      <c r="J123" s="29"/>
      <c r="K123" s="29"/>
      <c r="L123" s="29"/>
    </row>
    <row r="124" spans="1:12" s="31" customFormat="1">
      <c r="A124" s="42"/>
      <c r="F124" s="29"/>
      <c r="G124" s="29"/>
      <c r="H124" s="29"/>
      <c r="I124" s="29"/>
      <c r="J124" s="29"/>
      <c r="K124" s="29"/>
      <c r="L124" s="29"/>
    </row>
    <row r="125" spans="1:12" s="31" customFormat="1">
      <c r="A125" s="42"/>
      <c r="F125" s="29"/>
      <c r="G125" s="29"/>
      <c r="H125" s="29"/>
      <c r="I125" s="29"/>
      <c r="J125" s="29"/>
      <c r="K125" s="29"/>
      <c r="L125" s="29"/>
    </row>
    <row r="126" spans="1:12" s="31" customFormat="1">
      <c r="A126" s="42"/>
      <c r="F126" s="29"/>
      <c r="G126" s="29"/>
      <c r="H126" s="29"/>
      <c r="I126" s="29"/>
      <c r="J126" s="29"/>
      <c r="K126" s="29"/>
      <c r="L126" s="29"/>
    </row>
    <row r="127" spans="1:12" s="31" customFormat="1">
      <c r="A127" s="42"/>
      <c r="F127" s="29"/>
      <c r="G127" s="29"/>
      <c r="H127" s="29"/>
      <c r="I127" s="29"/>
      <c r="J127" s="29"/>
      <c r="K127" s="29"/>
      <c r="L127" s="29"/>
    </row>
    <row r="128" spans="1:12" s="31" customFormat="1">
      <c r="A128" s="42"/>
      <c r="F128" s="29"/>
      <c r="G128" s="29"/>
      <c r="H128" s="29"/>
      <c r="I128" s="29"/>
      <c r="J128" s="29"/>
      <c r="K128" s="29"/>
      <c r="L128" s="29"/>
    </row>
    <row r="129" spans="1:12" s="31" customFormat="1">
      <c r="A129" s="42"/>
      <c r="F129" s="29"/>
      <c r="G129" s="29"/>
      <c r="H129" s="29"/>
      <c r="I129" s="29"/>
      <c r="J129" s="29"/>
      <c r="K129" s="29"/>
      <c r="L129" s="29"/>
    </row>
    <row r="130" spans="1:12" s="31" customFormat="1">
      <c r="A130" s="42"/>
      <c r="F130" s="29"/>
      <c r="G130" s="29"/>
      <c r="H130" s="29"/>
      <c r="I130" s="29"/>
      <c r="J130" s="29"/>
      <c r="K130" s="29"/>
      <c r="L130" s="29"/>
    </row>
    <row r="131" spans="1:12" s="31" customFormat="1">
      <c r="A131" s="42"/>
      <c r="F131" s="29"/>
      <c r="G131" s="29"/>
      <c r="H131" s="29"/>
      <c r="I131" s="29"/>
      <c r="J131" s="29"/>
      <c r="K131" s="29"/>
      <c r="L131" s="29"/>
    </row>
    <row r="132" spans="1:12" s="31" customFormat="1">
      <c r="A132" s="42"/>
      <c r="F132" s="29"/>
      <c r="G132" s="29"/>
      <c r="H132" s="29"/>
      <c r="I132" s="29"/>
      <c r="J132" s="29"/>
      <c r="K132" s="29"/>
      <c r="L132" s="29"/>
    </row>
    <row r="133" spans="1:12" s="31" customFormat="1">
      <c r="A133" s="42"/>
      <c r="F133" s="29"/>
      <c r="G133" s="29"/>
      <c r="H133" s="29"/>
      <c r="I133" s="29"/>
      <c r="J133" s="29"/>
      <c r="K133" s="29"/>
      <c r="L133" s="29"/>
    </row>
    <row r="134" spans="1:12" s="31" customFormat="1">
      <c r="A134" s="42"/>
      <c r="F134" s="29"/>
      <c r="G134" s="29"/>
      <c r="H134" s="29"/>
      <c r="I134" s="29"/>
      <c r="J134" s="29"/>
      <c r="K134" s="29"/>
      <c r="L134" s="29"/>
    </row>
    <row r="135" spans="1:12" s="31" customFormat="1">
      <c r="A135" s="42"/>
      <c r="F135" s="29"/>
      <c r="G135" s="29"/>
      <c r="H135" s="29"/>
      <c r="I135" s="29"/>
      <c r="J135" s="29"/>
      <c r="K135" s="29"/>
      <c r="L135" s="29"/>
    </row>
    <row r="136" spans="1:12" s="31" customFormat="1">
      <c r="A136" s="42"/>
      <c r="F136" s="29"/>
      <c r="G136" s="29"/>
      <c r="H136" s="29"/>
      <c r="I136" s="29"/>
      <c r="J136" s="29"/>
      <c r="K136" s="29"/>
      <c r="L136" s="29"/>
    </row>
    <row r="137" spans="1:12" s="31" customFormat="1">
      <c r="A137" s="42"/>
      <c r="F137" s="29"/>
      <c r="G137" s="29"/>
      <c r="H137" s="29"/>
      <c r="I137" s="29"/>
      <c r="J137" s="29"/>
      <c r="K137" s="29"/>
      <c r="L137" s="29"/>
    </row>
    <row r="138" spans="1:12" s="31" customFormat="1">
      <c r="A138" s="42"/>
      <c r="F138" s="29"/>
      <c r="G138" s="29"/>
      <c r="H138" s="29"/>
      <c r="I138" s="29"/>
      <c r="J138" s="29"/>
      <c r="K138" s="29"/>
      <c r="L138" s="29"/>
    </row>
    <row r="139" spans="1:12" s="31" customFormat="1">
      <c r="A139" s="42"/>
      <c r="F139" s="29"/>
      <c r="G139" s="29"/>
      <c r="H139" s="29"/>
      <c r="I139" s="29"/>
      <c r="J139" s="29"/>
      <c r="K139" s="29"/>
      <c r="L139" s="29"/>
    </row>
    <row r="140" spans="1:12" s="31" customFormat="1">
      <c r="A140" s="42"/>
      <c r="F140" s="29"/>
      <c r="G140" s="29"/>
      <c r="H140" s="29"/>
      <c r="I140" s="29"/>
      <c r="J140" s="29"/>
      <c r="K140" s="29"/>
      <c r="L140" s="29"/>
    </row>
    <row r="141" spans="1:12" s="31" customFormat="1">
      <c r="A141" s="42"/>
      <c r="F141" s="29"/>
      <c r="G141" s="29"/>
      <c r="H141" s="29"/>
      <c r="I141" s="29"/>
      <c r="J141" s="29"/>
      <c r="K141" s="29"/>
      <c r="L141" s="29"/>
    </row>
    <row r="142" spans="1:12" s="31" customFormat="1">
      <c r="A142" s="42"/>
      <c r="F142" s="29"/>
      <c r="G142" s="29"/>
      <c r="H142" s="29"/>
      <c r="I142" s="29"/>
      <c r="J142" s="29"/>
      <c r="K142" s="29"/>
      <c r="L142" s="29"/>
    </row>
    <row r="143" spans="1:12" s="31" customFormat="1">
      <c r="A143" s="42"/>
      <c r="F143" s="29"/>
      <c r="G143" s="29"/>
      <c r="H143" s="29"/>
      <c r="I143" s="29"/>
      <c r="J143" s="29"/>
      <c r="K143" s="29"/>
      <c r="L143" s="29"/>
    </row>
    <row r="144" spans="1:12" s="31" customFormat="1">
      <c r="A144" s="42"/>
      <c r="F144" s="29"/>
      <c r="G144" s="29"/>
      <c r="H144" s="29"/>
      <c r="I144" s="29"/>
      <c r="J144" s="29"/>
      <c r="K144" s="29"/>
      <c r="L144" s="29"/>
    </row>
    <row r="145" spans="1:12" s="31" customFormat="1">
      <c r="A145" s="42"/>
      <c r="F145" s="29"/>
      <c r="G145" s="29"/>
      <c r="H145" s="29"/>
      <c r="I145" s="29"/>
      <c r="J145" s="29"/>
      <c r="K145" s="29"/>
      <c r="L145" s="29"/>
    </row>
    <row r="146" spans="1:12" s="31" customFormat="1">
      <c r="A146" s="42"/>
      <c r="F146" s="29"/>
      <c r="G146" s="29"/>
      <c r="H146" s="29"/>
      <c r="I146" s="29"/>
      <c r="J146" s="29"/>
      <c r="K146" s="29"/>
      <c r="L146" s="29"/>
    </row>
    <row r="147" spans="1:12" s="31" customFormat="1">
      <c r="A147" s="42"/>
      <c r="F147" s="29"/>
      <c r="G147" s="29"/>
      <c r="H147" s="29"/>
      <c r="I147" s="29"/>
      <c r="J147" s="29"/>
      <c r="K147" s="29"/>
      <c r="L147" s="29"/>
    </row>
    <row r="148" spans="1:12" s="31" customFormat="1">
      <c r="A148" s="42"/>
      <c r="F148" s="29"/>
      <c r="G148" s="29"/>
      <c r="H148" s="29"/>
      <c r="I148" s="29"/>
      <c r="J148" s="29"/>
      <c r="K148" s="29"/>
      <c r="L148" s="29"/>
    </row>
    <row r="149" spans="1:12" s="31" customFormat="1">
      <c r="A149" s="42"/>
      <c r="F149" s="29"/>
      <c r="G149" s="29"/>
      <c r="H149" s="29"/>
      <c r="I149" s="29"/>
      <c r="J149" s="29"/>
      <c r="K149" s="29"/>
      <c r="L149" s="29"/>
    </row>
    <row r="150" spans="1:12" s="31" customFormat="1">
      <c r="A150" s="42"/>
      <c r="F150" s="29"/>
      <c r="G150" s="29"/>
      <c r="H150" s="29"/>
      <c r="I150" s="29"/>
      <c r="J150" s="29"/>
      <c r="K150" s="29"/>
      <c r="L150" s="29"/>
    </row>
    <row r="151" spans="1:12" s="31" customFormat="1">
      <c r="A151" s="42"/>
      <c r="F151" s="29"/>
      <c r="G151" s="29"/>
      <c r="H151" s="29"/>
      <c r="I151" s="29"/>
      <c r="J151" s="29"/>
      <c r="K151" s="29"/>
      <c r="L151" s="29"/>
    </row>
    <row r="152" spans="1:12" s="31" customFormat="1">
      <c r="A152" s="42"/>
      <c r="F152" s="29"/>
      <c r="G152" s="29"/>
      <c r="H152" s="29"/>
      <c r="I152" s="29"/>
      <c r="J152" s="29"/>
      <c r="K152" s="29"/>
      <c r="L152" s="29"/>
    </row>
    <row r="153" spans="1:12" s="31" customFormat="1">
      <c r="A153" s="42"/>
      <c r="F153" s="29"/>
      <c r="G153" s="29"/>
      <c r="H153" s="29"/>
      <c r="I153" s="29"/>
      <c r="J153" s="29"/>
      <c r="K153" s="29"/>
      <c r="L153" s="29"/>
    </row>
    <row r="154" spans="1:12" s="31" customFormat="1">
      <c r="A154" s="42"/>
      <c r="F154" s="29"/>
      <c r="G154" s="29"/>
      <c r="H154" s="29"/>
      <c r="I154" s="29"/>
      <c r="J154" s="29"/>
      <c r="K154" s="29"/>
      <c r="L154" s="29"/>
    </row>
    <row r="155" spans="1:12" s="31" customFormat="1">
      <c r="A155" s="42"/>
      <c r="F155" s="29"/>
      <c r="G155" s="29"/>
      <c r="H155" s="29"/>
      <c r="I155" s="29"/>
      <c r="J155" s="29"/>
      <c r="K155" s="29"/>
      <c r="L155" s="29"/>
    </row>
    <row r="156" spans="1:12" s="31" customFormat="1">
      <c r="A156" s="42"/>
      <c r="F156" s="29"/>
      <c r="G156" s="29"/>
      <c r="H156" s="29"/>
      <c r="I156" s="29"/>
      <c r="J156" s="29"/>
      <c r="K156" s="29"/>
      <c r="L156" s="29"/>
    </row>
    <row r="157" spans="1:12" s="31" customFormat="1">
      <c r="A157" s="42"/>
      <c r="F157" s="29"/>
      <c r="G157" s="29"/>
      <c r="H157" s="29"/>
      <c r="I157" s="29"/>
      <c r="J157" s="29"/>
      <c r="K157" s="29"/>
      <c r="L157" s="29"/>
    </row>
    <row r="158" spans="1:12" s="31" customFormat="1">
      <c r="A158" s="42"/>
      <c r="F158" s="29"/>
      <c r="G158" s="29"/>
      <c r="H158" s="29"/>
      <c r="I158" s="29"/>
      <c r="J158" s="29"/>
      <c r="K158" s="29"/>
      <c r="L158" s="29"/>
    </row>
    <row r="159" spans="1:12" s="31" customFormat="1">
      <c r="A159" s="42"/>
      <c r="F159" s="29"/>
      <c r="G159" s="29"/>
      <c r="H159" s="29"/>
      <c r="I159" s="29"/>
      <c r="J159" s="29"/>
      <c r="K159" s="29"/>
      <c r="L159" s="29"/>
    </row>
    <row r="160" spans="1:12" s="31" customFormat="1">
      <c r="A160" s="42"/>
      <c r="F160" s="29"/>
      <c r="G160" s="29"/>
      <c r="H160" s="29"/>
      <c r="I160" s="29"/>
      <c r="J160" s="29"/>
      <c r="K160" s="29"/>
      <c r="L160" s="29"/>
    </row>
    <row r="161" spans="1:12" s="31" customFormat="1">
      <c r="A161" s="42"/>
      <c r="F161" s="29"/>
      <c r="G161" s="29"/>
      <c r="H161" s="29"/>
      <c r="I161" s="29"/>
      <c r="J161" s="29"/>
      <c r="K161" s="29"/>
      <c r="L161" s="29"/>
    </row>
    <row r="162" spans="1:12" s="31" customFormat="1">
      <c r="A162" s="42"/>
      <c r="F162" s="29"/>
      <c r="G162" s="29"/>
      <c r="H162" s="29"/>
      <c r="I162" s="29"/>
      <c r="J162" s="29"/>
      <c r="K162" s="29"/>
      <c r="L162" s="29"/>
    </row>
    <row r="163" spans="1:12" s="31" customFormat="1">
      <c r="A163" s="42"/>
      <c r="F163" s="29"/>
      <c r="G163" s="29"/>
      <c r="H163" s="29"/>
      <c r="I163" s="29"/>
      <c r="J163" s="29"/>
      <c r="K163" s="29"/>
      <c r="L163" s="29"/>
    </row>
    <row r="164" spans="1:12" s="31" customFormat="1">
      <c r="A164" s="42"/>
      <c r="F164" s="29"/>
      <c r="G164" s="29"/>
      <c r="H164" s="29"/>
      <c r="I164" s="29"/>
      <c r="J164" s="29"/>
      <c r="K164" s="29"/>
      <c r="L164" s="29"/>
    </row>
    <row r="165" spans="1:12" s="31" customFormat="1">
      <c r="A165" s="42"/>
      <c r="F165" s="29"/>
      <c r="G165" s="29"/>
      <c r="H165" s="29"/>
      <c r="I165" s="29"/>
      <c r="J165" s="29"/>
      <c r="K165" s="29"/>
      <c r="L165" s="29"/>
    </row>
    <row r="166" spans="1:12" s="31" customFormat="1">
      <c r="A166" s="42"/>
      <c r="F166" s="29"/>
      <c r="G166" s="29"/>
      <c r="H166" s="29"/>
      <c r="I166" s="29"/>
      <c r="J166" s="29"/>
      <c r="K166" s="29"/>
      <c r="L166" s="29"/>
    </row>
    <row r="167" spans="1:12" s="31" customFormat="1">
      <c r="A167" s="42"/>
      <c r="F167" s="29"/>
      <c r="G167" s="29"/>
      <c r="H167" s="29"/>
      <c r="I167" s="29"/>
      <c r="J167" s="29"/>
      <c r="K167" s="29"/>
      <c r="L167" s="29"/>
    </row>
    <row r="168" spans="1:12" s="31" customFormat="1">
      <c r="A168" s="42"/>
      <c r="F168" s="29"/>
      <c r="G168" s="29"/>
      <c r="H168" s="29"/>
      <c r="I168" s="29"/>
      <c r="J168" s="29"/>
      <c r="K168" s="29"/>
      <c r="L168" s="29"/>
    </row>
    <row r="169" spans="1:12" s="31" customFormat="1">
      <c r="A169" s="42"/>
      <c r="F169" s="29"/>
      <c r="G169" s="29"/>
      <c r="H169" s="29"/>
      <c r="I169" s="29"/>
      <c r="J169" s="29"/>
      <c r="K169" s="29"/>
      <c r="L169" s="29"/>
    </row>
    <row r="170" spans="1:12" s="31" customFormat="1">
      <c r="A170" s="42"/>
      <c r="F170" s="29"/>
      <c r="G170" s="29"/>
      <c r="H170" s="29"/>
      <c r="I170" s="29"/>
      <c r="J170" s="29"/>
      <c r="K170" s="29"/>
      <c r="L170" s="29"/>
    </row>
    <row r="171" spans="1:12" s="31" customFormat="1">
      <c r="A171" s="42"/>
      <c r="F171" s="29"/>
      <c r="G171" s="29"/>
      <c r="H171" s="29"/>
      <c r="I171" s="29"/>
      <c r="J171" s="29"/>
      <c r="K171" s="29"/>
      <c r="L171" s="29"/>
    </row>
    <row r="172" spans="1:12" s="31" customFormat="1">
      <c r="A172" s="42"/>
      <c r="F172" s="29"/>
      <c r="G172" s="29"/>
      <c r="H172" s="29"/>
      <c r="I172" s="29"/>
      <c r="J172" s="29"/>
      <c r="K172" s="29"/>
      <c r="L172" s="29"/>
    </row>
    <row r="173" spans="1:12" s="31" customFormat="1">
      <c r="A173" s="42"/>
      <c r="F173" s="29"/>
      <c r="G173" s="29"/>
      <c r="H173" s="29"/>
      <c r="I173" s="29"/>
      <c r="J173" s="29"/>
      <c r="K173" s="29"/>
      <c r="L173" s="29"/>
    </row>
    <row r="174" spans="1:12" s="31" customFormat="1">
      <c r="A174" s="42"/>
      <c r="F174" s="29"/>
      <c r="G174" s="29"/>
      <c r="H174" s="29"/>
      <c r="I174" s="29"/>
      <c r="J174" s="29"/>
      <c r="K174" s="29"/>
      <c r="L174" s="29"/>
    </row>
    <row r="175" spans="1:12" s="31" customFormat="1">
      <c r="A175" s="42"/>
      <c r="F175" s="29"/>
      <c r="G175" s="29"/>
      <c r="H175" s="29"/>
      <c r="I175" s="29"/>
      <c r="J175" s="29"/>
      <c r="K175" s="29"/>
      <c r="L175" s="29"/>
    </row>
    <row r="176" spans="1:12" s="31" customFormat="1">
      <c r="A176" s="42"/>
      <c r="F176" s="29"/>
      <c r="G176" s="29"/>
      <c r="H176" s="29"/>
      <c r="I176" s="29"/>
      <c r="J176" s="29"/>
      <c r="K176" s="29"/>
      <c r="L176" s="29"/>
    </row>
    <row r="177" spans="1:12" s="31" customFormat="1">
      <c r="A177" s="42"/>
      <c r="F177" s="29"/>
      <c r="G177" s="29"/>
      <c r="H177" s="29"/>
      <c r="I177" s="29"/>
      <c r="J177" s="29"/>
      <c r="K177" s="29"/>
      <c r="L177" s="29"/>
    </row>
    <row r="178" spans="1:12" s="31" customFormat="1">
      <c r="A178" s="42"/>
      <c r="F178" s="29"/>
      <c r="G178" s="29"/>
      <c r="H178" s="29"/>
      <c r="I178" s="29"/>
      <c r="J178" s="29"/>
      <c r="K178" s="29"/>
      <c r="L178" s="29"/>
    </row>
    <row r="179" spans="1:12" s="31" customFormat="1">
      <c r="A179" s="42"/>
      <c r="F179" s="29"/>
      <c r="G179" s="29"/>
      <c r="H179" s="29"/>
      <c r="I179" s="29"/>
      <c r="J179" s="29"/>
      <c r="K179" s="29"/>
      <c r="L179" s="29"/>
    </row>
    <row r="180" spans="1:12" s="31" customFormat="1">
      <c r="A180" s="42"/>
      <c r="F180" s="29"/>
      <c r="G180" s="29"/>
      <c r="H180" s="29"/>
      <c r="I180" s="29"/>
      <c r="J180" s="29"/>
      <c r="K180" s="29"/>
      <c r="L180" s="29"/>
    </row>
    <row r="181" spans="1:12" s="31" customFormat="1">
      <c r="A181" s="42"/>
      <c r="F181" s="29"/>
      <c r="G181" s="29"/>
      <c r="H181" s="29"/>
      <c r="I181" s="29"/>
      <c r="J181" s="29"/>
      <c r="K181" s="29"/>
      <c r="L181" s="29"/>
    </row>
    <row r="182" spans="1:12" s="31" customFormat="1">
      <c r="A182" s="42"/>
      <c r="F182" s="29"/>
      <c r="G182" s="29"/>
      <c r="H182" s="29"/>
      <c r="I182" s="29"/>
      <c r="J182" s="29"/>
      <c r="K182" s="29"/>
      <c r="L182" s="29"/>
    </row>
    <row r="183" spans="1:12" s="31" customFormat="1">
      <c r="A183" s="42"/>
      <c r="F183" s="29"/>
      <c r="G183" s="29"/>
      <c r="H183" s="29"/>
      <c r="I183" s="29"/>
      <c r="J183" s="29"/>
      <c r="K183" s="29"/>
      <c r="L183" s="29"/>
    </row>
    <row r="184" spans="1:12" s="31" customFormat="1">
      <c r="A184" s="42"/>
      <c r="F184" s="29"/>
      <c r="G184" s="29"/>
      <c r="H184" s="29"/>
      <c r="I184" s="29"/>
      <c r="J184" s="29"/>
      <c r="K184" s="29"/>
      <c r="L184" s="29"/>
    </row>
    <row r="185" spans="1:12" s="31" customFormat="1">
      <c r="A185" s="42"/>
      <c r="F185" s="29"/>
      <c r="G185" s="29"/>
      <c r="H185" s="29"/>
      <c r="I185" s="29"/>
      <c r="J185" s="29"/>
      <c r="K185" s="29"/>
      <c r="L185" s="29"/>
    </row>
    <row r="186" spans="1:12" s="31" customFormat="1">
      <c r="A186" s="42"/>
      <c r="F186" s="29"/>
      <c r="G186" s="29"/>
      <c r="H186" s="29"/>
      <c r="I186" s="29"/>
      <c r="J186" s="29"/>
      <c r="K186" s="29"/>
      <c r="L186" s="29"/>
    </row>
    <row r="187" spans="1:12" s="31" customFormat="1">
      <c r="A187" s="42"/>
      <c r="F187" s="29"/>
      <c r="G187" s="29"/>
      <c r="H187" s="29"/>
      <c r="I187" s="29"/>
      <c r="J187" s="29"/>
      <c r="K187" s="29"/>
      <c r="L187" s="29"/>
    </row>
    <row r="188" spans="1:12" s="31" customFormat="1">
      <c r="A188" s="42"/>
      <c r="F188" s="29"/>
      <c r="G188" s="29"/>
      <c r="H188" s="29"/>
      <c r="I188" s="29"/>
      <c r="J188" s="29"/>
      <c r="K188" s="29"/>
      <c r="L188" s="29"/>
    </row>
    <row r="189" spans="1:12" s="31" customFormat="1">
      <c r="A189" s="42"/>
      <c r="F189" s="29"/>
      <c r="G189" s="29"/>
      <c r="H189" s="29"/>
      <c r="I189" s="29"/>
      <c r="J189" s="29"/>
      <c r="K189" s="29"/>
      <c r="L189" s="29"/>
    </row>
    <row r="190" spans="1:12" s="31" customFormat="1">
      <c r="A190" s="42"/>
      <c r="F190" s="29"/>
      <c r="G190" s="29"/>
      <c r="H190" s="29"/>
      <c r="I190" s="29"/>
      <c r="J190" s="29"/>
      <c r="K190" s="29"/>
      <c r="L190" s="29"/>
    </row>
    <row r="191" spans="1:12" s="31" customFormat="1">
      <c r="A191" s="42"/>
      <c r="F191" s="29"/>
      <c r="G191" s="29"/>
      <c r="H191" s="29"/>
      <c r="I191" s="29"/>
      <c r="J191" s="29"/>
      <c r="K191" s="29"/>
      <c r="L191" s="29"/>
    </row>
    <row r="192" spans="1:12" s="31" customFormat="1">
      <c r="A192" s="42"/>
      <c r="F192" s="29"/>
      <c r="G192" s="29"/>
      <c r="H192" s="29"/>
      <c r="I192" s="29"/>
      <c r="J192" s="29"/>
      <c r="K192" s="29"/>
      <c r="L192" s="29"/>
    </row>
    <row r="193" spans="1:12" s="31" customFormat="1">
      <c r="A193" s="42"/>
      <c r="F193" s="29"/>
      <c r="G193" s="29"/>
      <c r="H193" s="29"/>
      <c r="I193" s="29"/>
      <c r="J193" s="29"/>
      <c r="K193" s="29"/>
      <c r="L193" s="29"/>
    </row>
    <row r="194" spans="1:12" s="31" customFormat="1">
      <c r="A194" s="42"/>
      <c r="F194" s="29"/>
      <c r="G194" s="29"/>
      <c r="H194" s="29"/>
      <c r="I194" s="29"/>
      <c r="J194" s="29"/>
      <c r="K194" s="29"/>
      <c r="L194" s="29"/>
    </row>
    <row r="195" spans="1:12" s="31" customFormat="1">
      <c r="A195" s="42"/>
      <c r="F195" s="29"/>
      <c r="G195" s="29"/>
      <c r="H195" s="29"/>
      <c r="I195" s="29"/>
      <c r="J195" s="29"/>
      <c r="K195" s="29"/>
      <c r="L195" s="29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5:F45"/>
    <mergeCell ref="H45:J45"/>
    <mergeCell ref="A7:J7"/>
    <mergeCell ref="A18:J18"/>
    <mergeCell ref="C44:F44"/>
    <mergeCell ref="H44:J44"/>
  </mergeCells>
  <phoneticPr fontId="3" type="noConversion"/>
  <pageMargins left="1.1811023622047245" right="0.39370078740157483" top="0.78740157480314965" bottom="0.78740157480314965" header="0.39370078740157483" footer="0.11811023622047245"/>
  <pageSetup paperSize="9" scale="37" fitToHeight="2" orientation="landscape" verticalDpi="300" r:id="rId1"/>
  <headerFooter alignWithMargins="0"/>
  <ignoredErrors>
    <ignoredError sqref="F9 F19 F27 F32 F37 F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03"/>
  <sheetViews>
    <sheetView view="pageBreakPreview" topLeftCell="A36" zoomScale="60" zoomScaleNormal="75" workbookViewId="0">
      <selection activeCell="AD11" sqref="AD11"/>
    </sheetView>
  </sheetViews>
  <sheetFormatPr defaultColWidth="9.140625" defaultRowHeight="18.75"/>
  <cols>
    <col min="1" max="1" width="93.28515625" style="2" customWidth="1"/>
    <col min="2" max="2" width="15" style="2" customWidth="1"/>
    <col min="3" max="3" width="13" style="2" customWidth="1"/>
    <col min="4" max="4" width="16" style="2" customWidth="1"/>
    <col min="5" max="5" width="13.85546875" style="2" customWidth="1"/>
    <col min="6" max="6" width="16" style="2" customWidth="1"/>
    <col min="7" max="7" width="14.5703125" style="2" customWidth="1"/>
    <col min="8" max="8" width="16" style="2" customWidth="1"/>
    <col min="9" max="9" width="17.42578125" style="2" customWidth="1"/>
    <col min="10" max="10" width="16" style="2" customWidth="1"/>
    <col min="11" max="11" width="9.140625" style="2"/>
    <col min="12" max="12" width="15.28515625" style="2" customWidth="1"/>
    <col min="13" max="16384" width="9.140625" style="2"/>
  </cols>
  <sheetData>
    <row r="1" spans="1:12">
      <c r="J1" s="77" t="s">
        <v>405</v>
      </c>
    </row>
    <row r="2" spans="1:12">
      <c r="A2" s="477" t="s">
        <v>309</v>
      </c>
      <c r="B2" s="477"/>
      <c r="C2" s="477"/>
      <c r="D2" s="477"/>
      <c r="E2" s="477"/>
      <c r="F2" s="477"/>
      <c r="G2" s="477"/>
      <c r="H2" s="477"/>
      <c r="I2" s="477"/>
      <c r="J2" s="477"/>
    </row>
    <row r="3" spans="1:12">
      <c r="A3" s="10"/>
      <c r="B3" s="10"/>
      <c r="C3" s="10"/>
      <c r="D3" s="10"/>
      <c r="E3" s="10"/>
      <c r="F3" s="10"/>
      <c r="G3" s="10"/>
      <c r="H3" s="10"/>
      <c r="I3" s="10"/>
      <c r="J3" s="16" t="s">
        <v>377</v>
      </c>
    </row>
    <row r="4" spans="1:12" ht="48" customHeight="1">
      <c r="A4" s="549" t="s">
        <v>179</v>
      </c>
      <c r="B4" s="551" t="s">
        <v>0</v>
      </c>
      <c r="C4" s="551"/>
      <c r="D4" s="551"/>
      <c r="E4" s="551"/>
      <c r="F4" s="487" t="s">
        <v>512</v>
      </c>
      <c r="G4" s="487" t="s">
        <v>376</v>
      </c>
      <c r="H4" s="487"/>
      <c r="I4" s="487"/>
      <c r="J4" s="487"/>
    </row>
    <row r="5" spans="1:12" ht="88.5" customHeight="1">
      <c r="A5" s="550"/>
      <c r="B5" s="551"/>
      <c r="C5" s="551"/>
      <c r="D5" s="551"/>
      <c r="E5" s="551"/>
      <c r="F5" s="487"/>
      <c r="G5" s="12" t="s">
        <v>141</v>
      </c>
      <c r="H5" s="12" t="s">
        <v>142</v>
      </c>
      <c r="I5" s="12" t="s">
        <v>143</v>
      </c>
      <c r="J5" s="12" t="s">
        <v>68</v>
      </c>
    </row>
    <row r="6" spans="1:12" ht="18" customHeight="1">
      <c r="A6" s="7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</row>
    <row r="7" spans="1:12" s="40" customFormat="1" ht="20.100000000000001" customHeight="1">
      <c r="A7" s="119" t="s">
        <v>125</v>
      </c>
      <c r="B7" s="119"/>
      <c r="C7" s="120"/>
      <c r="D7" s="120"/>
      <c r="E7" s="120"/>
      <c r="F7" s="120"/>
      <c r="G7" s="120"/>
      <c r="H7" s="120"/>
      <c r="I7" s="120"/>
      <c r="J7" s="121"/>
    </row>
    <row r="8" spans="1:12" ht="20.100000000000001" customHeight="1">
      <c r="A8" s="122" t="s">
        <v>273</v>
      </c>
      <c r="B8" s="123">
        <v>3000</v>
      </c>
      <c r="C8" s="86">
        <f>SUM(C9:C14,C18)</f>
        <v>0</v>
      </c>
      <c r="D8" s="86">
        <f>SUM(D9:D14,D18)</f>
        <v>0</v>
      </c>
      <c r="E8" s="86">
        <f>SUM(E9:E14,E18)</f>
        <v>0</v>
      </c>
      <c r="F8" s="86">
        <f t="shared" ref="F8:F19" si="0">SUM(G8:J8)</f>
        <v>56332.799999999996</v>
      </c>
      <c r="G8" s="86">
        <f>SUM(G9:G14,G18)</f>
        <v>14537.8</v>
      </c>
      <c r="H8" s="86">
        <f>SUM(H9:H14,H18)</f>
        <v>14465.8</v>
      </c>
      <c r="I8" s="86">
        <f>SUM(I9:I14,I18)</f>
        <v>12516.3</v>
      </c>
      <c r="J8" s="86">
        <f>SUM(J9:J14,J18)</f>
        <v>14812.9</v>
      </c>
      <c r="L8" s="254"/>
    </row>
    <row r="9" spans="1:12" ht="20.100000000000001" customHeight="1">
      <c r="A9" s="87" t="s">
        <v>344</v>
      </c>
      <c r="B9" s="88">
        <v>3010</v>
      </c>
      <c r="C9" s="106"/>
      <c r="D9" s="106"/>
      <c r="E9" s="106"/>
      <c r="F9" s="106">
        <f t="shared" si="0"/>
        <v>236.39999999999998</v>
      </c>
      <c r="G9" s="106">
        <v>50.3</v>
      </c>
      <c r="H9" s="106">
        <v>52.5</v>
      </c>
      <c r="I9" s="106">
        <v>65.900000000000006</v>
      </c>
      <c r="J9" s="106">
        <v>67.7</v>
      </c>
    </row>
    <row r="10" spans="1:12" ht="20.100000000000001" customHeight="1">
      <c r="A10" s="87" t="s">
        <v>274</v>
      </c>
      <c r="B10" s="88">
        <v>3020</v>
      </c>
      <c r="C10" s="106"/>
      <c r="D10" s="106"/>
      <c r="E10" s="106"/>
      <c r="F10" s="106">
        <f t="shared" si="0"/>
        <v>0</v>
      </c>
      <c r="G10" s="106"/>
      <c r="H10" s="106"/>
      <c r="I10" s="106"/>
      <c r="J10" s="106"/>
    </row>
    <row r="11" spans="1:12" ht="20.100000000000001" customHeight="1">
      <c r="A11" s="87" t="s">
        <v>275</v>
      </c>
      <c r="B11" s="88">
        <v>3021</v>
      </c>
      <c r="C11" s="106"/>
      <c r="D11" s="106"/>
      <c r="E11" s="106"/>
      <c r="F11" s="106">
        <f t="shared" si="0"/>
        <v>0</v>
      </c>
      <c r="G11" s="106"/>
      <c r="H11" s="106"/>
      <c r="I11" s="106"/>
      <c r="J11" s="106"/>
    </row>
    <row r="12" spans="1:12" ht="20.100000000000001" customHeight="1">
      <c r="A12" s="87" t="s">
        <v>345</v>
      </c>
      <c r="B12" s="88">
        <v>3030</v>
      </c>
      <c r="C12" s="106"/>
      <c r="D12" s="106"/>
      <c r="E12" s="106"/>
      <c r="F12" s="106">
        <f>SUM(G12:J12)</f>
        <v>54490</v>
      </c>
      <c r="G12" s="106">
        <f>15083.6-985.4</f>
        <v>14098.2</v>
      </c>
      <c r="H12" s="106">
        <f>15147.2-1091.7</f>
        <v>14055.5</v>
      </c>
      <c r="I12" s="199">
        <f>12608.3-604.8</f>
        <v>12003.5</v>
      </c>
      <c r="J12" s="199">
        <f>16985.5-2652.7</f>
        <v>14332.8</v>
      </c>
      <c r="L12" s="254"/>
    </row>
    <row r="13" spans="1:12">
      <c r="A13" s="87" t="s">
        <v>276</v>
      </c>
      <c r="B13" s="88">
        <v>3040</v>
      </c>
      <c r="C13" s="106"/>
      <c r="D13" s="106"/>
      <c r="E13" s="106"/>
      <c r="F13" s="106">
        <f t="shared" si="0"/>
        <v>0</v>
      </c>
      <c r="G13" s="106"/>
      <c r="H13" s="106"/>
      <c r="I13" s="106"/>
      <c r="J13" s="106"/>
    </row>
    <row r="14" spans="1:12">
      <c r="A14" s="87" t="s">
        <v>85</v>
      </c>
      <c r="B14" s="88">
        <v>3050</v>
      </c>
      <c r="C14" s="106">
        <f>SUM(C15:C17)</f>
        <v>0</v>
      </c>
      <c r="D14" s="106">
        <f>SUM(D15:D17)</f>
        <v>0</v>
      </c>
      <c r="E14" s="106">
        <f>SUM(E15:E17)</f>
        <v>0</v>
      </c>
      <c r="F14" s="106">
        <f t="shared" si="0"/>
        <v>0</v>
      </c>
      <c r="G14" s="106">
        <f>SUM(G15:G17)</f>
        <v>0</v>
      </c>
      <c r="H14" s="106">
        <f>SUM(H15:H17)</f>
        <v>0</v>
      </c>
      <c r="I14" s="106">
        <f>SUM(I15:I17)</f>
        <v>0</v>
      </c>
      <c r="J14" s="106">
        <f>SUM(J15:J17)</f>
        <v>0</v>
      </c>
    </row>
    <row r="15" spans="1:12" ht="20.100000000000001" customHeight="1">
      <c r="A15" s="87" t="s">
        <v>83</v>
      </c>
      <c r="B15" s="80">
        <v>3051</v>
      </c>
      <c r="C15" s="106"/>
      <c r="D15" s="106"/>
      <c r="E15" s="106"/>
      <c r="F15" s="106">
        <f t="shared" si="0"/>
        <v>0</v>
      </c>
      <c r="G15" s="106"/>
      <c r="H15" s="106"/>
      <c r="I15" s="106"/>
      <c r="J15" s="106"/>
    </row>
    <row r="16" spans="1:12" ht="20.100000000000001" customHeight="1">
      <c r="A16" s="87" t="s">
        <v>86</v>
      </c>
      <c r="B16" s="80">
        <v>3052</v>
      </c>
      <c r="C16" s="106"/>
      <c r="D16" s="106"/>
      <c r="E16" s="106"/>
      <c r="F16" s="106">
        <f t="shared" si="0"/>
        <v>0</v>
      </c>
      <c r="G16" s="106"/>
      <c r="H16" s="106"/>
      <c r="I16" s="106"/>
      <c r="J16" s="106"/>
    </row>
    <row r="17" spans="1:10" ht="20.100000000000001" customHeight="1">
      <c r="A17" s="87" t="s">
        <v>107</v>
      </c>
      <c r="B17" s="80">
        <v>3053</v>
      </c>
      <c r="C17" s="106"/>
      <c r="D17" s="106"/>
      <c r="E17" s="106"/>
      <c r="F17" s="106">
        <f t="shared" si="0"/>
        <v>0</v>
      </c>
      <c r="G17" s="106"/>
      <c r="H17" s="106"/>
      <c r="I17" s="106"/>
      <c r="J17" s="106"/>
    </row>
    <row r="18" spans="1:10" ht="20.100000000000001" customHeight="1">
      <c r="A18" s="87" t="s">
        <v>346</v>
      </c>
      <c r="B18" s="88">
        <v>3060</v>
      </c>
      <c r="C18" s="106"/>
      <c r="D18" s="106"/>
      <c r="E18" s="106"/>
      <c r="F18" s="106">
        <f t="shared" si="0"/>
        <v>1606.4</v>
      </c>
      <c r="G18" s="106">
        <f>398.4-9.1</f>
        <v>389.29999999999995</v>
      </c>
      <c r="H18" s="106">
        <v>357.8</v>
      </c>
      <c r="I18" s="199">
        <v>446.9</v>
      </c>
      <c r="J18" s="199">
        <v>412.4</v>
      </c>
    </row>
    <row r="19" spans="1:10" ht="20.100000000000001" customHeight="1">
      <c r="A19" s="107" t="s">
        <v>277</v>
      </c>
      <c r="B19" s="108">
        <v>3100</v>
      </c>
      <c r="C19" s="86">
        <f>SUM(C20:C22,C26,C33,C34)</f>
        <v>0</v>
      </c>
      <c r="D19" s="86">
        <f>SUM(D20:D22,D26,D33,D34)</f>
        <v>0</v>
      </c>
      <c r="E19" s="86">
        <f>SUM(E20:E22,E26,E33,E34)</f>
        <v>0</v>
      </c>
      <c r="F19" s="86">
        <f t="shared" si="0"/>
        <v>-55943.8</v>
      </c>
      <c r="G19" s="86">
        <f>SUM(G20:G22,G26,G33,G34)</f>
        <v>-12994.8</v>
      </c>
      <c r="H19" s="86">
        <f>SUM(H20:H22,H26,H33,H34)</f>
        <v>-13948.1</v>
      </c>
      <c r="I19" s="86">
        <f>SUM(I20:I22,I26,I33,I34)</f>
        <v>-13620.6</v>
      </c>
      <c r="J19" s="86">
        <f>SUM(J20:J22,J26,J33,J34)</f>
        <v>-15380.3</v>
      </c>
    </row>
    <row r="20" spans="1:10" ht="20.100000000000001" customHeight="1">
      <c r="A20" s="87" t="s">
        <v>278</v>
      </c>
      <c r="B20" s="88">
        <v>3110</v>
      </c>
      <c r="C20" s="106" t="s">
        <v>220</v>
      </c>
      <c r="D20" s="106"/>
      <c r="E20" s="106"/>
      <c r="F20" s="199">
        <f>SUM(G20:J20)</f>
        <v>-12905.699999999999</v>
      </c>
      <c r="G20" s="106">
        <v>-2867.7</v>
      </c>
      <c r="H20" s="106">
        <v>-2783.7</v>
      </c>
      <c r="I20" s="106">
        <v>-2787.4</v>
      </c>
      <c r="J20" s="106">
        <f>-4466.9</f>
        <v>-4466.8999999999996</v>
      </c>
    </row>
    <row r="21" spans="1:10" ht="20.100000000000001" customHeight="1">
      <c r="A21" s="87" t="s">
        <v>279</v>
      </c>
      <c r="B21" s="88">
        <v>3120</v>
      </c>
      <c r="C21" s="106" t="s">
        <v>220</v>
      </c>
      <c r="D21" s="106"/>
      <c r="E21" s="106"/>
      <c r="F21" s="199">
        <f>SUM(G21:J21)</f>
        <v>-28263.9</v>
      </c>
      <c r="G21" s="106">
        <v>-6664.7</v>
      </c>
      <c r="H21" s="106">
        <v>-7376.6</v>
      </c>
      <c r="I21" s="106">
        <f>-7123.1</f>
        <v>-7123.1</v>
      </c>
      <c r="J21" s="106">
        <v>-7099.5</v>
      </c>
    </row>
    <row r="22" spans="1:10" ht="20.100000000000001" customHeight="1">
      <c r="A22" s="87" t="s">
        <v>84</v>
      </c>
      <c r="B22" s="88">
        <v>3130</v>
      </c>
      <c r="C22" s="106">
        <f>SUM(C23:C25)</f>
        <v>0</v>
      </c>
      <c r="D22" s="106">
        <f>SUM(D23:D25)</f>
        <v>0</v>
      </c>
      <c r="E22" s="106">
        <f>SUM(E23:E25)</f>
        <v>0</v>
      </c>
      <c r="F22" s="106">
        <f>SUM(G22:J22)</f>
        <v>0</v>
      </c>
      <c r="G22" s="106" t="s">
        <v>220</v>
      </c>
      <c r="H22" s="106" t="s">
        <v>220</v>
      </c>
      <c r="I22" s="106" t="s">
        <v>220</v>
      </c>
      <c r="J22" s="106" t="s">
        <v>220</v>
      </c>
    </row>
    <row r="23" spans="1:10" ht="20.100000000000001" customHeight="1">
      <c r="A23" s="87" t="s">
        <v>83</v>
      </c>
      <c r="B23" s="80">
        <v>3131</v>
      </c>
      <c r="C23" s="106" t="s">
        <v>220</v>
      </c>
      <c r="D23" s="106" t="s">
        <v>220</v>
      </c>
      <c r="E23" s="106" t="s">
        <v>220</v>
      </c>
      <c r="F23" s="106">
        <f t="shared" ref="F23:F37" si="1">SUM(G23:J23)</f>
        <v>0</v>
      </c>
      <c r="G23" s="106" t="s">
        <v>220</v>
      </c>
      <c r="H23" s="106" t="s">
        <v>220</v>
      </c>
      <c r="I23" s="106" t="s">
        <v>220</v>
      </c>
      <c r="J23" s="106" t="s">
        <v>220</v>
      </c>
    </row>
    <row r="24" spans="1:10" ht="20.100000000000001" customHeight="1">
      <c r="A24" s="87" t="s">
        <v>86</v>
      </c>
      <c r="B24" s="80">
        <v>3132</v>
      </c>
      <c r="C24" s="106" t="s">
        <v>220</v>
      </c>
      <c r="D24" s="106" t="s">
        <v>220</v>
      </c>
      <c r="E24" s="106" t="s">
        <v>220</v>
      </c>
      <c r="F24" s="106">
        <f t="shared" si="1"/>
        <v>0</v>
      </c>
      <c r="G24" s="106" t="s">
        <v>220</v>
      </c>
      <c r="H24" s="106" t="s">
        <v>220</v>
      </c>
      <c r="I24" s="106" t="s">
        <v>220</v>
      </c>
      <c r="J24" s="106" t="s">
        <v>220</v>
      </c>
    </row>
    <row r="25" spans="1:10" ht="20.100000000000001" customHeight="1">
      <c r="A25" s="87" t="s">
        <v>107</v>
      </c>
      <c r="B25" s="80">
        <v>3133</v>
      </c>
      <c r="C25" s="106" t="s">
        <v>220</v>
      </c>
      <c r="D25" s="106" t="s">
        <v>220</v>
      </c>
      <c r="E25" s="106" t="s">
        <v>220</v>
      </c>
      <c r="F25" s="106">
        <f t="shared" si="1"/>
        <v>0</v>
      </c>
      <c r="G25" s="106" t="s">
        <v>220</v>
      </c>
      <c r="H25" s="106" t="s">
        <v>220</v>
      </c>
      <c r="I25" s="106" t="s">
        <v>220</v>
      </c>
      <c r="J25" s="106" t="s">
        <v>220</v>
      </c>
    </row>
    <row r="26" spans="1:10" ht="20.100000000000001" customHeight="1">
      <c r="A26" s="87" t="s">
        <v>280</v>
      </c>
      <c r="B26" s="88">
        <v>3140</v>
      </c>
      <c r="C26" s="106">
        <f>SUM(C27:C31,C32)</f>
        <v>0</v>
      </c>
      <c r="D26" s="106">
        <f>SUM(D27:D31,D32)</f>
        <v>0</v>
      </c>
      <c r="E26" s="106">
        <f>SUM(E27:E31,E32)</f>
        <v>0</v>
      </c>
      <c r="F26" s="106">
        <f t="shared" si="1"/>
        <v>-14373.400000000001</v>
      </c>
      <c r="G26" s="106">
        <f>SUM(G27:G31,G32)</f>
        <v>-3369.7</v>
      </c>
      <c r="H26" s="106">
        <f>SUM(H27:H31,H32)</f>
        <v>-3693.1000000000004</v>
      </c>
      <c r="I26" s="106">
        <f>SUM(I27:I31,I32)</f>
        <v>-3612.8999999999996</v>
      </c>
      <c r="J26" s="106">
        <f>SUM(J27:J31,J32)</f>
        <v>-3697.7</v>
      </c>
    </row>
    <row r="27" spans="1:10" ht="20.100000000000001" customHeight="1">
      <c r="A27" s="87" t="s">
        <v>281</v>
      </c>
      <c r="B27" s="80">
        <v>3141</v>
      </c>
      <c r="C27" s="106" t="s">
        <v>220</v>
      </c>
      <c r="D27" s="106" t="s">
        <v>220</v>
      </c>
      <c r="E27" s="106" t="s">
        <v>220</v>
      </c>
      <c r="F27" s="106">
        <f t="shared" si="1"/>
        <v>0</v>
      </c>
      <c r="G27" s="106" t="s">
        <v>220</v>
      </c>
      <c r="H27" s="106" t="s">
        <v>220</v>
      </c>
      <c r="I27" s="106" t="s">
        <v>220</v>
      </c>
      <c r="J27" s="106" t="s">
        <v>220</v>
      </c>
    </row>
    <row r="28" spans="1:10" ht="20.100000000000001" customHeight="1">
      <c r="A28" s="87" t="s">
        <v>282</v>
      </c>
      <c r="B28" s="80">
        <v>3142</v>
      </c>
      <c r="C28" s="106" t="s">
        <v>220</v>
      </c>
      <c r="D28" s="106" t="s">
        <v>220</v>
      </c>
      <c r="E28" s="106" t="s">
        <v>220</v>
      </c>
      <c r="F28" s="106">
        <f t="shared" si="1"/>
        <v>0</v>
      </c>
      <c r="G28" s="106" t="s">
        <v>220</v>
      </c>
      <c r="H28" s="106" t="s">
        <v>220</v>
      </c>
      <c r="I28" s="106" t="s">
        <v>220</v>
      </c>
      <c r="J28" s="106" t="s">
        <v>220</v>
      </c>
    </row>
    <row r="29" spans="1:10" ht="20.100000000000001" customHeight="1">
      <c r="A29" s="87" t="s">
        <v>79</v>
      </c>
      <c r="B29" s="80">
        <v>3143</v>
      </c>
      <c r="C29" s="106" t="s">
        <v>220</v>
      </c>
      <c r="D29" s="106" t="s">
        <v>220</v>
      </c>
      <c r="E29" s="106" t="s">
        <v>220</v>
      </c>
      <c r="F29" s="106">
        <f t="shared" si="1"/>
        <v>0</v>
      </c>
      <c r="G29" s="106" t="s">
        <v>220</v>
      </c>
      <c r="H29" s="106" t="s">
        <v>220</v>
      </c>
      <c r="I29" s="106" t="s">
        <v>220</v>
      </c>
      <c r="J29" s="106" t="s">
        <v>220</v>
      </c>
    </row>
    <row r="30" spans="1:10" ht="19.5" customHeight="1">
      <c r="A30" s="87" t="s">
        <v>283</v>
      </c>
      <c r="B30" s="80">
        <v>3144</v>
      </c>
      <c r="C30" s="106" t="s">
        <v>220</v>
      </c>
      <c r="D30" s="106" t="s">
        <v>220</v>
      </c>
      <c r="E30" s="106" t="s">
        <v>220</v>
      </c>
      <c r="F30" s="106">
        <f t="shared" si="1"/>
        <v>0</v>
      </c>
      <c r="G30" s="106" t="s">
        <v>220</v>
      </c>
      <c r="H30" s="106" t="s">
        <v>220</v>
      </c>
      <c r="I30" s="106" t="s">
        <v>220</v>
      </c>
      <c r="J30" s="106" t="s">
        <v>220</v>
      </c>
    </row>
    <row r="31" spans="1:10" ht="20.100000000000001" customHeight="1">
      <c r="A31" s="87" t="s">
        <v>78</v>
      </c>
      <c r="B31" s="80">
        <v>3145</v>
      </c>
      <c r="C31" s="106" t="s">
        <v>220</v>
      </c>
      <c r="D31" s="106"/>
      <c r="E31" s="106"/>
      <c r="F31" s="199">
        <f t="shared" si="1"/>
        <v>-6133.7</v>
      </c>
      <c r="G31" s="106">
        <v>-1436.8</v>
      </c>
      <c r="H31" s="106">
        <v>-1601.8</v>
      </c>
      <c r="I31" s="106">
        <f>-1546.8-0.5</f>
        <v>-1547.3</v>
      </c>
      <c r="J31" s="106">
        <v>-1547.8</v>
      </c>
    </row>
    <row r="32" spans="1:10" ht="20.100000000000001" customHeight="1">
      <c r="A32" s="174" t="s">
        <v>489</v>
      </c>
      <c r="B32" s="80">
        <v>3150</v>
      </c>
      <c r="C32" s="106" t="s">
        <v>220</v>
      </c>
      <c r="D32" s="106"/>
      <c r="E32" s="106"/>
      <c r="F32" s="199">
        <f t="shared" si="1"/>
        <v>-8239.7000000000007</v>
      </c>
      <c r="G32" s="106">
        <v>-1932.9</v>
      </c>
      <c r="H32" s="106">
        <v>-2091.3000000000002</v>
      </c>
      <c r="I32" s="106">
        <v>-2065.6</v>
      </c>
      <c r="J32" s="106">
        <v>-2149.9</v>
      </c>
    </row>
    <row r="33" spans="1:11" ht="20.100000000000001" customHeight="1">
      <c r="A33" s="87" t="s">
        <v>284</v>
      </c>
      <c r="B33" s="88">
        <v>3160</v>
      </c>
      <c r="C33" s="106" t="s">
        <v>220</v>
      </c>
      <c r="D33" s="106" t="s">
        <v>220</v>
      </c>
      <c r="E33" s="106" t="s">
        <v>220</v>
      </c>
      <c r="F33" s="199">
        <f t="shared" si="1"/>
        <v>0</v>
      </c>
      <c r="G33" s="199" t="s">
        <v>220</v>
      </c>
      <c r="H33" s="199" t="s">
        <v>220</v>
      </c>
      <c r="I33" s="199" t="s">
        <v>220</v>
      </c>
      <c r="J33" s="199" t="s">
        <v>220</v>
      </c>
    </row>
    <row r="34" spans="1:11" ht="20.100000000000001" customHeight="1">
      <c r="A34" s="212" t="s">
        <v>343</v>
      </c>
      <c r="B34" s="88">
        <v>3170</v>
      </c>
      <c r="C34" s="106" t="s">
        <v>220</v>
      </c>
      <c r="D34" s="106" t="s">
        <v>220</v>
      </c>
      <c r="E34" s="106" t="s">
        <v>220</v>
      </c>
      <c r="F34" s="199">
        <f t="shared" si="1"/>
        <v>-400.8</v>
      </c>
      <c r="G34" s="199">
        <v>-92.7</v>
      </c>
      <c r="H34" s="199">
        <v>-94.7</v>
      </c>
      <c r="I34" s="199">
        <v>-97.2</v>
      </c>
      <c r="J34" s="199">
        <v>-116.2</v>
      </c>
    </row>
    <row r="35" spans="1:11" ht="20.100000000000001" customHeight="1">
      <c r="A35" s="107" t="s">
        <v>234</v>
      </c>
      <c r="B35" s="108">
        <v>3195</v>
      </c>
      <c r="C35" s="86">
        <f>SUM(C8,C19)</f>
        <v>0</v>
      </c>
      <c r="D35" s="86">
        <f>SUM(D8,D19)</f>
        <v>0</v>
      </c>
      <c r="E35" s="86">
        <f>SUM(E8,E19)</f>
        <v>0</v>
      </c>
      <c r="F35" s="86">
        <f t="shared" si="1"/>
        <v>388.99999999999818</v>
      </c>
      <c r="G35" s="86">
        <f>SUM(G8,G19)</f>
        <v>1543</v>
      </c>
      <c r="H35" s="86">
        <f>SUM(H8,H19)</f>
        <v>517.69999999999891</v>
      </c>
      <c r="I35" s="86">
        <f>SUM(I8,I19)</f>
        <v>-1104.3000000000011</v>
      </c>
      <c r="J35" s="86">
        <f>SUM(J8,J19)</f>
        <v>-567.39999999999964</v>
      </c>
    </row>
    <row r="36" spans="1:11" ht="20.100000000000001" customHeight="1">
      <c r="A36" s="119" t="s">
        <v>126</v>
      </c>
      <c r="B36" s="119"/>
      <c r="C36" s="228"/>
      <c r="D36" s="228"/>
      <c r="E36" s="228"/>
      <c r="F36" s="228"/>
      <c r="G36" s="228"/>
      <c r="H36" s="228"/>
      <c r="I36" s="228"/>
      <c r="J36" s="229"/>
    </row>
    <row r="37" spans="1:11" ht="20.100000000000001" customHeight="1">
      <c r="A37" s="122" t="s">
        <v>285</v>
      </c>
      <c r="B37" s="123">
        <v>3200</v>
      </c>
      <c r="C37" s="86">
        <f>SUM(C38:C41)</f>
        <v>0</v>
      </c>
      <c r="D37" s="86">
        <f>SUM(D38:D41)</f>
        <v>0</v>
      </c>
      <c r="E37" s="86">
        <f>SUM(E38:E41)</f>
        <v>0</v>
      </c>
      <c r="F37" s="86">
        <f t="shared" si="1"/>
        <v>5334.5999999999995</v>
      </c>
      <c r="G37" s="86">
        <f>SUM(G38:G41)</f>
        <v>985.4</v>
      </c>
      <c r="H37" s="86">
        <f>SUM(H38:H41)</f>
        <v>1091.7</v>
      </c>
      <c r="I37" s="86">
        <f>SUM(I38:I41)</f>
        <v>604.79999999999995</v>
      </c>
      <c r="J37" s="86">
        <f>SUM(J38:J41)</f>
        <v>2652.7</v>
      </c>
    </row>
    <row r="38" spans="1:11" ht="20.100000000000001" customHeight="1">
      <c r="A38" s="87" t="s">
        <v>286</v>
      </c>
      <c r="B38" s="80">
        <v>3210</v>
      </c>
      <c r="C38" s="106"/>
      <c r="D38" s="106"/>
      <c r="E38" s="106"/>
      <c r="F38" s="106">
        <f>SUM(G38:J38)</f>
        <v>0</v>
      </c>
      <c r="G38" s="106"/>
      <c r="H38" s="106"/>
      <c r="I38" s="106"/>
      <c r="J38" s="106"/>
    </row>
    <row r="39" spans="1:11" ht="20.100000000000001" customHeight="1">
      <c r="A39" s="87" t="s">
        <v>287</v>
      </c>
      <c r="B39" s="88">
        <v>3220</v>
      </c>
      <c r="C39" s="106"/>
      <c r="D39" s="106"/>
      <c r="E39" s="106"/>
      <c r="F39" s="106">
        <f>SUM(G39:J39)</f>
        <v>0</v>
      </c>
      <c r="G39" s="106"/>
      <c r="H39" s="106"/>
      <c r="I39" s="106"/>
      <c r="J39" s="106"/>
    </row>
    <row r="40" spans="1:11" ht="20.100000000000001" customHeight="1">
      <c r="A40" s="87" t="s">
        <v>49</v>
      </c>
      <c r="B40" s="88">
        <v>3230</v>
      </c>
      <c r="C40" s="106"/>
      <c r="D40" s="106"/>
      <c r="E40" s="106"/>
      <c r="F40" s="106">
        <f>SUM(G40:J40)</f>
        <v>0</v>
      </c>
      <c r="G40" s="106"/>
      <c r="H40" s="106"/>
      <c r="I40" s="106"/>
      <c r="J40" s="106"/>
    </row>
    <row r="41" spans="1:11" ht="20.100000000000001" customHeight="1">
      <c r="A41" s="234" t="s">
        <v>737</v>
      </c>
      <c r="B41" s="88">
        <v>3240</v>
      </c>
      <c r="C41" s="106"/>
      <c r="D41" s="106"/>
      <c r="E41" s="106"/>
      <c r="F41" s="106">
        <f>SUM(G41:J41)</f>
        <v>5334.5999999999995</v>
      </c>
      <c r="G41" s="106">
        <v>985.4</v>
      </c>
      <c r="H41" s="106">
        <v>1091.7</v>
      </c>
      <c r="I41" s="106">
        <v>604.79999999999995</v>
      </c>
      <c r="J41" s="106">
        <v>2652.7</v>
      </c>
      <c r="K41" s="2" t="s">
        <v>741</v>
      </c>
    </row>
    <row r="42" spans="1:11" ht="19.5" customHeight="1">
      <c r="A42" s="107" t="s">
        <v>288</v>
      </c>
      <c r="B42" s="108">
        <v>3255</v>
      </c>
      <c r="C42" s="86">
        <f>SUM(C43:C47)</f>
        <v>0</v>
      </c>
      <c r="D42" s="86">
        <f>SUM(D43:D47)</f>
        <v>0</v>
      </c>
      <c r="E42" s="86">
        <f>SUM(E43:E47)</f>
        <v>0</v>
      </c>
      <c r="F42" s="86">
        <f>SUM(G42:J42)</f>
        <v>-5732.7000000000007</v>
      </c>
      <c r="G42" s="86">
        <f>SUM(G43:G47)</f>
        <v>-1025.2</v>
      </c>
      <c r="H42" s="86">
        <f>SUM(H43:H47)</f>
        <v>-1100.3</v>
      </c>
      <c r="I42" s="86">
        <f>SUM(I43:I47)</f>
        <v>-922.80000000000007</v>
      </c>
      <c r="J42" s="86">
        <f>SUM(J43:J47)</f>
        <v>-2684.4</v>
      </c>
    </row>
    <row r="43" spans="1:11" ht="20.100000000000001" customHeight="1">
      <c r="A43" s="87" t="s">
        <v>347</v>
      </c>
      <c r="B43" s="88">
        <v>3260</v>
      </c>
      <c r="C43" s="106" t="s">
        <v>220</v>
      </c>
      <c r="D43" s="106"/>
      <c r="E43" s="106"/>
      <c r="F43" s="106">
        <f t="shared" ref="F43:F62" si="2">SUM(G43:J43)</f>
        <v>-1348.3999999999999</v>
      </c>
      <c r="G43" s="106">
        <v>-39.799999999999997</v>
      </c>
      <c r="H43" s="199">
        <v>-943.2</v>
      </c>
      <c r="I43" s="199">
        <v>-338.6</v>
      </c>
      <c r="J43" s="106">
        <v>-26.8</v>
      </c>
    </row>
    <row r="44" spans="1:11" ht="20.100000000000001" customHeight="1">
      <c r="A44" s="87" t="s">
        <v>348</v>
      </c>
      <c r="B44" s="88">
        <v>3265</v>
      </c>
      <c r="C44" s="106" t="s">
        <v>220</v>
      </c>
      <c r="D44" s="106" t="s">
        <v>220</v>
      </c>
      <c r="E44" s="106" t="s">
        <v>220</v>
      </c>
      <c r="F44" s="106">
        <f t="shared" si="2"/>
        <v>0</v>
      </c>
      <c r="G44" s="106" t="s">
        <v>220</v>
      </c>
      <c r="H44" s="199" t="s">
        <v>220</v>
      </c>
      <c r="I44" s="199" t="s">
        <v>220</v>
      </c>
      <c r="J44" s="106" t="s">
        <v>220</v>
      </c>
    </row>
    <row r="45" spans="1:11" ht="20.100000000000001" customHeight="1">
      <c r="A45" s="87" t="s">
        <v>349</v>
      </c>
      <c r="B45" s="88">
        <v>3270</v>
      </c>
      <c r="C45" s="106" t="s">
        <v>220</v>
      </c>
      <c r="D45" s="106" t="s">
        <v>220</v>
      </c>
      <c r="E45" s="106" t="s">
        <v>220</v>
      </c>
      <c r="F45" s="106">
        <f t="shared" si="2"/>
        <v>0</v>
      </c>
      <c r="G45" s="106" t="s">
        <v>220</v>
      </c>
      <c r="H45" s="199" t="s">
        <v>220</v>
      </c>
      <c r="I45" s="199" t="s">
        <v>220</v>
      </c>
      <c r="J45" s="106" t="s">
        <v>220</v>
      </c>
    </row>
    <row r="46" spans="1:11" ht="20.100000000000001" customHeight="1">
      <c r="A46" s="87" t="s">
        <v>50</v>
      </c>
      <c r="B46" s="88">
        <v>3275</v>
      </c>
      <c r="C46" s="106" t="s">
        <v>220</v>
      </c>
      <c r="D46" s="106" t="s">
        <v>220</v>
      </c>
      <c r="E46" s="106" t="s">
        <v>220</v>
      </c>
      <c r="F46" s="106">
        <f t="shared" si="2"/>
        <v>0</v>
      </c>
      <c r="G46" s="106" t="s">
        <v>220</v>
      </c>
      <c r="H46" s="199" t="s">
        <v>220</v>
      </c>
      <c r="I46" s="199" t="s">
        <v>220</v>
      </c>
      <c r="J46" s="106" t="s">
        <v>220</v>
      </c>
    </row>
    <row r="47" spans="1:11" ht="20.100000000000001" customHeight="1">
      <c r="A47" s="87" t="s">
        <v>343</v>
      </c>
      <c r="B47" s="88">
        <v>3280</v>
      </c>
      <c r="C47" s="106" t="s">
        <v>220</v>
      </c>
      <c r="D47" s="106" t="s">
        <v>220</v>
      </c>
      <c r="E47" s="106" t="s">
        <v>220</v>
      </c>
      <c r="F47" s="106">
        <f t="shared" si="2"/>
        <v>-4384.3</v>
      </c>
      <c r="G47" s="106">
        <v>-985.4</v>
      </c>
      <c r="H47" s="199">
        <v>-157.1</v>
      </c>
      <c r="I47" s="199">
        <v>-584.20000000000005</v>
      </c>
      <c r="J47" s="106">
        <v>-2657.6</v>
      </c>
      <c r="K47" s="2" t="s">
        <v>738</v>
      </c>
    </row>
    <row r="48" spans="1:11" ht="20.100000000000001" customHeight="1">
      <c r="A48" s="124" t="s">
        <v>127</v>
      </c>
      <c r="B48" s="125">
        <v>3295</v>
      </c>
      <c r="C48" s="86">
        <f>SUM(C37,C42)</f>
        <v>0</v>
      </c>
      <c r="D48" s="86">
        <f t="shared" ref="D48:I48" si="3">SUM(D37,D42)</f>
        <v>0</v>
      </c>
      <c r="E48" s="86">
        <f t="shared" si="3"/>
        <v>0</v>
      </c>
      <c r="F48" s="86">
        <f t="shared" si="2"/>
        <v>-398.10000000000036</v>
      </c>
      <c r="G48" s="86">
        <f t="shared" si="3"/>
        <v>-39.800000000000068</v>
      </c>
      <c r="H48" s="86">
        <f t="shared" si="3"/>
        <v>-8.5999999999999091</v>
      </c>
      <c r="I48" s="86">
        <f t="shared" si="3"/>
        <v>-318.00000000000011</v>
      </c>
      <c r="J48" s="86">
        <f>SUM(J37,J42)</f>
        <v>-31.700000000000273</v>
      </c>
    </row>
    <row r="49" spans="1:10" ht="20.100000000000001" customHeight="1">
      <c r="A49" s="119" t="s">
        <v>128</v>
      </c>
      <c r="B49" s="119"/>
      <c r="C49" s="228"/>
      <c r="D49" s="228"/>
      <c r="E49" s="228"/>
      <c r="F49" s="228"/>
      <c r="G49" s="228"/>
      <c r="H49" s="228"/>
      <c r="I49" s="228"/>
      <c r="J49" s="229"/>
    </row>
    <row r="50" spans="1:10" ht="20.100000000000001" customHeight="1">
      <c r="A50" s="107" t="s">
        <v>289</v>
      </c>
      <c r="B50" s="108">
        <v>3300</v>
      </c>
      <c r="C50" s="86">
        <f>SUM(C51,C52,C56)</f>
        <v>0</v>
      </c>
      <c r="D50" s="86">
        <f>SUM(D51,D52,D56)</f>
        <v>0</v>
      </c>
      <c r="E50" s="86">
        <f>SUM(E51,E52,E56)</f>
        <v>0</v>
      </c>
      <c r="F50" s="86">
        <f t="shared" si="2"/>
        <v>0</v>
      </c>
      <c r="G50" s="86">
        <f>SUM(G51,G52,G56)</f>
        <v>0</v>
      </c>
      <c r="H50" s="86">
        <f>SUM(H51,H52,H56)</f>
        <v>0</v>
      </c>
      <c r="I50" s="86">
        <f>SUM(I51,I52,I56)</f>
        <v>0</v>
      </c>
      <c r="J50" s="86">
        <f>SUM(J51,J52,J56)</f>
        <v>0</v>
      </c>
    </row>
    <row r="51" spans="1:10" ht="20.100000000000001" customHeight="1">
      <c r="A51" s="87" t="s">
        <v>290</v>
      </c>
      <c r="B51" s="88">
        <v>3310</v>
      </c>
      <c r="C51" s="106"/>
      <c r="D51" s="106"/>
      <c r="E51" s="106"/>
      <c r="F51" s="106">
        <f t="shared" si="2"/>
        <v>0</v>
      </c>
      <c r="G51" s="106">
        <f>'VII Статутн капіт'!G9</f>
        <v>0</v>
      </c>
      <c r="H51" s="106">
        <f>'VII Статутн капіт'!H9</f>
        <v>0</v>
      </c>
      <c r="I51" s="106">
        <f>'VII Статутн капіт'!I9</f>
        <v>0</v>
      </c>
      <c r="J51" s="106">
        <f>'VII Статутн капіт'!J9</f>
        <v>0</v>
      </c>
    </row>
    <row r="52" spans="1:10" ht="20.100000000000001" customHeight="1">
      <c r="A52" s="87" t="s">
        <v>291</v>
      </c>
      <c r="B52" s="88">
        <v>3320</v>
      </c>
      <c r="C52" s="106">
        <f>SUM(C53:C55)</f>
        <v>0</v>
      </c>
      <c r="D52" s="106">
        <f>SUM(D53:D55)</f>
        <v>0</v>
      </c>
      <c r="E52" s="106">
        <f>SUM(E53:E55)</f>
        <v>0</v>
      </c>
      <c r="F52" s="106">
        <f t="shared" si="2"/>
        <v>0</v>
      </c>
      <c r="G52" s="106">
        <f>SUM(G53:G55)</f>
        <v>0</v>
      </c>
      <c r="H52" s="106">
        <f>SUM(H53:H55)</f>
        <v>0</v>
      </c>
      <c r="I52" s="106">
        <f>SUM(I53:I55)</f>
        <v>0</v>
      </c>
      <c r="J52" s="106">
        <f>SUM(J53:J55)</f>
        <v>0</v>
      </c>
    </row>
    <row r="53" spans="1:10" ht="20.100000000000001" customHeight="1">
      <c r="A53" s="87" t="s">
        <v>83</v>
      </c>
      <c r="B53" s="80">
        <v>3321</v>
      </c>
      <c r="C53" s="106"/>
      <c r="D53" s="106"/>
      <c r="E53" s="106"/>
      <c r="F53" s="106">
        <f t="shared" si="2"/>
        <v>0</v>
      </c>
      <c r="G53" s="106"/>
      <c r="H53" s="106"/>
      <c r="I53" s="106"/>
      <c r="J53" s="106"/>
    </row>
    <row r="54" spans="1:10" ht="20.100000000000001" customHeight="1">
      <c r="A54" s="87" t="s">
        <v>86</v>
      </c>
      <c r="B54" s="80">
        <v>3322</v>
      </c>
      <c r="C54" s="106"/>
      <c r="D54" s="106"/>
      <c r="E54" s="106"/>
      <c r="F54" s="106">
        <f t="shared" si="2"/>
        <v>0</v>
      </c>
      <c r="G54" s="106"/>
      <c r="H54" s="106"/>
      <c r="I54" s="106"/>
      <c r="J54" s="106"/>
    </row>
    <row r="55" spans="1:10" ht="20.100000000000001" customHeight="1">
      <c r="A55" s="87" t="s">
        <v>107</v>
      </c>
      <c r="B55" s="80">
        <v>3323</v>
      </c>
      <c r="C55" s="106"/>
      <c r="D55" s="106"/>
      <c r="E55" s="106"/>
      <c r="F55" s="106">
        <f t="shared" si="2"/>
        <v>0</v>
      </c>
      <c r="G55" s="106"/>
      <c r="H55" s="106"/>
      <c r="I55" s="106"/>
      <c r="J55" s="106"/>
    </row>
    <row r="56" spans="1:10" ht="20.100000000000001" customHeight="1">
      <c r="A56" s="87" t="s">
        <v>346</v>
      </c>
      <c r="B56" s="88">
        <v>3340</v>
      </c>
      <c r="C56" s="106"/>
      <c r="D56" s="106"/>
      <c r="E56" s="106"/>
      <c r="F56" s="106">
        <f t="shared" si="2"/>
        <v>0</v>
      </c>
      <c r="G56" s="106"/>
      <c r="H56" s="106"/>
      <c r="I56" s="106"/>
      <c r="J56" s="106"/>
    </row>
    <row r="57" spans="1:10" ht="20.100000000000001" customHeight="1">
      <c r="A57" s="107" t="s">
        <v>292</v>
      </c>
      <c r="B57" s="108">
        <v>3345</v>
      </c>
      <c r="C57" s="86">
        <f>SUM(C58,C59,C63,C64)</f>
        <v>0</v>
      </c>
      <c r="D57" s="86">
        <f>SUM(D58,D59,D63,D64)</f>
        <v>0</v>
      </c>
      <c r="E57" s="86">
        <f>SUM(E58,E59,E63,E64)</f>
        <v>0</v>
      </c>
      <c r="F57" s="86">
        <f t="shared" si="2"/>
        <v>0</v>
      </c>
      <c r="G57" s="86">
        <f>SUM(G58,G59,G63,G64)</f>
        <v>0</v>
      </c>
      <c r="H57" s="86">
        <f>SUM(H58,H59,H63,H64)</f>
        <v>0</v>
      </c>
      <c r="I57" s="86">
        <f>SUM(I58,I59,I63,I64)</f>
        <v>0</v>
      </c>
      <c r="J57" s="86">
        <f>SUM(J58,J59,J63,J64)</f>
        <v>0</v>
      </c>
    </row>
    <row r="58" spans="1:10" ht="20.100000000000001" customHeight="1">
      <c r="A58" s="87" t="s">
        <v>293</v>
      </c>
      <c r="B58" s="88">
        <v>3350</v>
      </c>
      <c r="C58" s="106" t="s">
        <v>220</v>
      </c>
      <c r="D58" s="106" t="s">
        <v>220</v>
      </c>
      <c r="E58" s="106" t="s">
        <v>220</v>
      </c>
      <c r="F58" s="106">
        <f>SUM(G58:J58)</f>
        <v>0</v>
      </c>
      <c r="G58" s="106" t="s">
        <v>220</v>
      </c>
      <c r="H58" s="106" t="s">
        <v>220</v>
      </c>
      <c r="I58" s="106" t="s">
        <v>220</v>
      </c>
      <c r="J58" s="106" t="s">
        <v>220</v>
      </c>
    </row>
    <row r="59" spans="1:10" ht="20.100000000000001" customHeight="1">
      <c r="A59" s="87" t="s">
        <v>294</v>
      </c>
      <c r="B59" s="80">
        <v>3360</v>
      </c>
      <c r="C59" s="106">
        <f>SUM(C60:C62)</f>
        <v>0</v>
      </c>
      <c r="D59" s="106">
        <f>SUM(D60:D62)</f>
        <v>0</v>
      </c>
      <c r="E59" s="106">
        <f>SUM(E60:E62)</f>
        <v>0</v>
      </c>
      <c r="F59" s="106">
        <f t="shared" si="2"/>
        <v>0</v>
      </c>
      <c r="G59" s="106">
        <f>SUM(G60:G62)</f>
        <v>0</v>
      </c>
      <c r="H59" s="106">
        <f>SUM(H60:H62)</f>
        <v>0</v>
      </c>
      <c r="I59" s="106">
        <f>SUM(I60:I62)</f>
        <v>0</v>
      </c>
      <c r="J59" s="106">
        <f>SUM(J60:J62)</f>
        <v>0</v>
      </c>
    </row>
    <row r="60" spans="1:10" ht="20.100000000000001" customHeight="1">
      <c r="A60" s="87" t="s">
        <v>83</v>
      </c>
      <c r="B60" s="80">
        <v>3361</v>
      </c>
      <c r="C60" s="106" t="s">
        <v>220</v>
      </c>
      <c r="D60" s="106" t="s">
        <v>220</v>
      </c>
      <c r="E60" s="106" t="s">
        <v>220</v>
      </c>
      <c r="F60" s="106">
        <f t="shared" si="2"/>
        <v>0</v>
      </c>
      <c r="G60" s="106" t="s">
        <v>220</v>
      </c>
      <c r="H60" s="106" t="s">
        <v>220</v>
      </c>
      <c r="I60" s="106" t="s">
        <v>220</v>
      </c>
      <c r="J60" s="106" t="s">
        <v>220</v>
      </c>
    </row>
    <row r="61" spans="1:10" ht="20.100000000000001" customHeight="1">
      <c r="A61" s="87" t="s">
        <v>86</v>
      </c>
      <c r="B61" s="80">
        <v>3362</v>
      </c>
      <c r="C61" s="106" t="s">
        <v>220</v>
      </c>
      <c r="D61" s="106" t="s">
        <v>220</v>
      </c>
      <c r="E61" s="106" t="s">
        <v>220</v>
      </c>
      <c r="F61" s="106">
        <f t="shared" si="2"/>
        <v>0</v>
      </c>
      <c r="G61" s="106" t="s">
        <v>220</v>
      </c>
      <c r="H61" s="106" t="s">
        <v>220</v>
      </c>
      <c r="I61" s="106" t="s">
        <v>220</v>
      </c>
      <c r="J61" s="106" t="s">
        <v>220</v>
      </c>
    </row>
    <row r="62" spans="1:10" ht="20.100000000000001" customHeight="1">
      <c r="A62" s="87" t="s">
        <v>107</v>
      </c>
      <c r="B62" s="80">
        <v>3363</v>
      </c>
      <c r="C62" s="106" t="s">
        <v>220</v>
      </c>
      <c r="D62" s="106" t="s">
        <v>220</v>
      </c>
      <c r="E62" s="106" t="s">
        <v>220</v>
      </c>
      <c r="F62" s="106">
        <f t="shared" si="2"/>
        <v>0</v>
      </c>
      <c r="G62" s="106" t="s">
        <v>220</v>
      </c>
      <c r="H62" s="106" t="s">
        <v>220</v>
      </c>
      <c r="I62" s="106" t="s">
        <v>220</v>
      </c>
      <c r="J62" s="106" t="s">
        <v>220</v>
      </c>
    </row>
    <row r="63" spans="1:10" ht="20.100000000000001" customHeight="1">
      <c r="A63" s="87" t="s">
        <v>295</v>
      </c>
      <c r="B63" s="80">
        <v>3370</v>
      </c>
      <c r="C63" s="106" t="s">
        <v>220</v>
      </c>
      <c r="D63" s="106" t="s">
        <v>220</v>
      </c>
      <c r="E63" s="106" t="s">
        <v>220</v>
      </c>
      <c r="F63" s="106">
        <f>SUM(G63:J63)</f>
        <v>0</v>
      </c>
      <c r="G63" s="106" t="s">
        <v>220</v>
      </c>
      <c r="H63" s="106" t="s">
        <v>220</v>
      </c>
      <c r="I63" s="106" t="s">
        <v>220</v>
      </c>
      <c r="J63" s="106" t="s">
        <v>220</v>
      </c>
    </row>
    <row r="64" spans="1:10" ht="20.100000000000001" customHeight="1">
      <c r="A64" s="87" t="s">
        <v>343</v>
      </c>
      <c r="B64" s="88">
        <v>3380</v>
      </c>
      <c r="C64" s="106" t="s">
        <v>220</v>
      </c>
      <c r="D64" s="106" t="s">
        <v>220</v>
      </c>
      <c r="E64" s="106" t="s">
        <v>220</v>
      </c>
      <c r="F64" s="106">
        <f>SUM(G64:J64)</f>
        <v>0</v>
      </c>
      <c r="G64" s="106" t="s">
        <v>220</v>
      </c>
      <c r="H64" s="106" t="s">
        <v>220</v>
      </c>
      <c r="I64" s="106" t="s">
        <v>220</v>
      </c>
      <c r="J64" s="106" t="s">
        <v>220</v>
      </c>
    </row>
    <row r="65" spans="1:10" ht="20.100000000000001" customHeight="1">
      <c r="A65" s="107" t="s">
        <v>129</v>
      </c>
      <c r="B65" s="108">
        <v>3395</v>
      </c>
      <c r="C65" s="86">
        <f>SUM(C50,C57)</f>
        <v>0</v>
      </c>
      <c r="D65" s="86">
        <f t="shared" ref="D65:J65" si="4">SUM(D50,D57)</f>
        <v>0</v>
      </c>
      <c r="E65" s="86">
        <f t="shared" si="4"/>
        <v>0</v>
      </c>
      <c r="F65" s="86">
        <f>SUM(G65:J65)</f>
        <v>0</v>
      </c>
      <c r="G65" s="86">
        <f t="shared" si="4"/>
        <v>0</v>
      </c>
      <c r="H65" s="86">
        <f t="shared" si="4"/>
        <v>0</v>
      </c>
      <c r="I65" s="86">
        <f t="shared" si="4"/>
        <v>0</v>
      </c>
      <c r="J65" s="86">
        <f t="shared" si="4"/>
        <v>0</v>
      </c>
    </row>
    <row r="66" spans="1:10" ht="20.100000000000001" customHeight="1">
      <c r="A66" s="107" t="s">
        <v>30</v>
      </c>
      <c r="B66" s="108">
        <v>3400</v>
      </c>
      <c r="C66" s="86">
        <f t="shared" ref="C66:I66" si="5">SUM(C35,C48,C65)</f>
        <v>0</v>
      </c>
      <c r="D66" s="86">
        <f t="shared" si="5"/>
        <v>0</v>
      </c>
      <c r="E66" s="86">
        <f t="shared" si="5"/>
        <v>0</v>
      </c>
      <c r="F66" s="86">
        <f t="shared" si="5"/>
        <v>-9.1000000000021828</v>
      </c>
      <c r="G66" s="86">
        <f>SUM(G35,G48,G65)</f>
        <v>1503.1999999999998</v>
      </c>
      <c r="H66" s="86">
        <f t="shared" si="5"/>
        <v>509.099999999999</v>
      </c>
      <c r="I66" s="86">
        <f t="shared" si="5"/>
        <v>-1422.3000000000011</v>
      </c>
      <c r="J66" s="86">
        <f>SUM(J35,J48,J65)</f>
        <v>-599.09999999999991</v>
      </c>
    </row>
    <row r="67" spans="1:10" s="14" customFormat="1" ht="20.100000000000001" customHeight="1">
      <c r="A67" s="87" t="s">
        <v>233</v>
      </c>
      <c r="B67" s="88">
        <v>3405</v>
      </c>
      <c r="C67" s="106"/>
      <c r="D67" s="106"/>
      <c r="E67" s="106"/>
      <c r="F67" s="199">
        <v>9.1</v>
      </c>
      <c r="G67" s="106">
        <v>9.1</v>
      </c>
      <c r="H67" s="106">
        <v>1512.3</v>
      </c>
      <c r="I67" s="106">
        <v>2021.4</v>
      </c>
      <c r="J67" s="106">
        <v>599.1</v>
      </c>
    </row>
    <row r="68" spans="1:10" s="14" customFormat="1" ht="20.100000000000001" customHeight="1">
      <c r="A68" s="92" t="s">
        <v>131</v>
      </c>
      <c r="B68" s="88">
        <v>3410</v>
      </c>
      <c r="C68" s="106"/>
      <c r="D68" s="106"/>
      <c r="E68" s="106"/>
      <c r="F68" s="106">
        <f>SUM(G68:J68)</f>
        <v>0</v>
      </c>
      <c r="G68" s="106"/>
      <c r="H68" s="106"/>
      <c r="I68" s="106"/>
      <c r="J68" s="106"/>
    </row>
    <row r="69" spans="1:10" s="14" customFormat="1" ht="20.100000000000001" customHeight="1">
      <c r="A69" s="87" t="s">
        <v>236</v>
      </c>
      <c r="B69" s="88">
        <v>3415</v>
      </c>
      <c r="C69" s="106">
        <f>SUM(C67,C66,C68)</f>
        <v>0</v>
      </c>
      <c r="D69" s="106">
        <f t="shared" ref="D69:I69" si="6">SUM(D67,D66,D68)</f>
        <v>0</v>
      </c>
      <c r="E69" s="199"/>
      <c r="F69" s="106">
        <f t="shared" si="6"/>
        <v>-2.1831425556229078E-12</v>
      </c>
      <c r="G69" s="106">
        <f>SUM(G67,G66,G68)</f>
        <v>1512.2999999999997</v>
      </c>
      <c r="H69" s="106">
        <f t="shared" si="6"/>
        <v>2021.399999999999</v>
      </c>
      <c r="I69" s="106">
        <f t="shared" si="6"/>
        <v>599.099999999999</v>
      </c>
      <c r="J69" s="106">
        <f>SUM(J67,J66,J68)</f>
        <v>0</v>
      </c>
    </row>
    <row r="70" spans="1:10" s="14" customFormat="1" ht="20.100000000000001" customHeight="1">
      <c r="A70" s="69"/>
      <c r="B70" s="126"/>
      <c r="C70" s="127"/>
      <c r="D70" s="128"/>
      <c r="E70" s="128"/>
      <c r="F70" s="129"/>
      <c r="G70" s="128"/>
      <c r="H70" s="128"/>
      <c r="I70" s="128"/>
      <c r="J70" s="128"/>
    </row>
    <row r="71" spans="1:10" s="3" customFormat="1" ht="58.5" customHeight="1">
      <c r="A71" s="449" t="s">
        <v>745</v>
      </c>
      <c r="B71" s="109"/>
      <c r="C71" s="543" t="s">
        <v>96</v>
      </c>
      <c r="D71" s="544"/>
      <c r="E71" s="544"/>
      <c r="F71" s="544"/>
      <c r="G71" s="110"/>
      <c r="H71" s="545" t="s">
        <v>617</v>
      </c>
      <c r="I71" s="545"/>
      <c r="J71" s="545"/>
    </row>
    <row r="72" spans="1:10" ht="20.100000000000001" customHeight="1">
      <c r="A72" s="175" t="s">
        <v>418</v>
      </c>
      <c r="B72" s="59"/>
      <c r="C72" s="503" t="s">
        <v>74</v>
      </c>
      <c r="D72" s="503"/>
      <c r="E72" s="503"/>
      <c r="F72" s="503"/>
      <c r="G72" s="64"/>
      <c r="H72" s="498" t="s">
        <v>92</v>
      </c>
      <c r="I72" s="498"/>
      <c r="J72" s="498"/>
    </row>
    <row r="73" spans="1:10">
      <c r="A73" s="69"/>
      <c r="B73" s="69"/>
      <c r="C73" s="65"/>
      <c r="D73" s="69"/>
      <c r="E73" s="69"/>
      <c r="F73" s="69"/>
      <c r="G73" s="69"/>
      <c r="H73" s="69"/>
      <c r="I73" s="69"/>
      <c r="J73" s="69"/>
    </row>
    <row r="74" spans="1:10">
      <c r="A74" s="69"/>
      <c r="B74" s="69"/>
      <c r="C74" s="65"/>
      <c r="D74" s="69"/>
      <c r="E74" s="69"/>
      <c r="F74" s="69"/>
      <c r="G74" s="69"/>
      <c r="H74" s="69"/>
      <c r="I74" s="69"/>
      <c r="J74" s="69"/>
    </row>
    <row r="75" spans="1:10">
      <c r="A75" s="69"/>
      <c r="B75" s="69"/>
      <c r="C75" s="65"/>
      <c r="D75" s="69"/>
      <c r="E75" s="69"/>
      <c r="F75" s="69"/>
      <c r="G75" s="69"/>
      <c r="H75" s="69"/>
      <c r="I75" s="69"/>
      <c r="J75" s="69"/>
    </row>
    <row r="76" spans="1:10">
      <c r="A76" s="69"/>
      <c r="B76" s="69"/>
      <c r="C76" s="65"/>
      <c r="D76" s="69"/>
      <c r="E76" s="69"/>
      <c r="F76" s="69"/>
      <c r="G76" s="69"/>
      <c r="H76" s="69"/>
      <c r="I76" s="69"/>
      <c r="J76" s="69"/>
    </row>
    <row r="77" spans="1:10">
      <c r="A77" s="69"/>
      <c r="B77" s="69"/>
      <c r="C77" s="65"/>
      <c r="D77" s="69"/>
      <c r="E77" s="69"/>
      <c r="F77" s="69"/>
      <c r="G77" s="69"/>
      <c r="H77" s="69"/>
      <c r="I77" s="69"/>
      <c r="J77" s="69"/>
    </row>
    <row r="78" spans="1:10">
      <c r="A78" s="69"/>
      <c r="B78" s="69"/>
      <c r="C78" s="65"/>
      <c r="D78" s="69"/>
      <c r="E78" s="69"/>
      <c r="F78" s="69"/>
      <c r="G78" s="69"/>
      <c r="H78" s="69"/>
      <c r="I78" s="69"/>
      <c r="J78" s="69"/>
    </row>
    <row r="79" spans="1:10">
      <c r="A79" s="69"/>
      <c r="B79" s="69"/>
      <c r="C79" s="65"/>
      <c r="D79" s="69"/>
      <c r="E79" s="69"/>
      <c r="F79" s="69"/>
      <c r="G79" s="69"/>
      <c r="H79" s="69"/>
      <c r="I79" s="69"/>
      <c r="J79" s="69"/>
    </row>
    <row r="80" spans="1:10">
      <c r="A80" s="69"/>
      <c r="B80" s="69"/>
      <c r="C80" s="65"/>
      <c r="D80" s="69"/>
      <c r="E80" s="69"/>
      <c r="F80" s="69"/>
      <c r="G80" s="69"/>
      <c r="H80" s="69"/>
      <c r="I80" s="69"/>
      <c r="J80" s="69"/>
    </row>
    <row r="81" spans="1:10">
      <c r="A81" s="69"/>
      <c r="B81" s="69"/>
      <c r="C81" s="65"/>
      <c r="D81" s="69"/>
      <c r="E81" s="69"/>
      <c r="F81" s="69"/>
      <c r="G81" s="69"/>
      <c r="H81" s="69"/>
      <c r="I81" s="69"/>
      <c r="J81" s="69"/>
    </row>
    <row r="82" spans="1:10">
      <c r="A82" s="69"/>
      <c r="B82" s="69"/>
      <c r="C82" s="65"/>
      <c r="D82" s="69"/>
      <c r="E82" s="69"/>
      <c r="F82" s="69"/>
      <c r="G82" s="69"/>
      <c r="H82" s="69"/>
      <c r="I82" s="69"/>
      <c r="J82" s="69"/>
    </row>
    <row r="83" spans="1:10">
      <c r="A83" s="69"/>
      <c r="B83" s="69"/>
      <c r="C83" s="65"/>
      <c r="D83" s="69"/>
      <c r="E83" s="69"/>
      <c r="F83" s="69"/>
      <c r="G83" s="69"/>
      <c r="H83" s="69"/>
      <c r="I83" s="69"/>
      <c r="J83" s="69"/>
    </row>
    <row r="84" spans="1:10">
      <c r="A84" s="69"/>
      <c r="B84" s="69"/>
      <c r="C84" s="65"/>
      <c r="D84" s="69"/>
      <c r="E84" s="69"/>
      <c r="F84" s="69"/>
      <c r="G84" s="69"/>
      <c r="H84" s="69"/>
      <c r="I84" s="69"/>
      <c r="J84" s="69"/>
    </row>
    <row r="85" spans="1:10">
      <c r="A85" s="69"/>
      <c r="B85" s="69"/>
      <c r="C85" s="65"/>
      <c r="D85" s="69"/>
      <c r="E85" s="69"/>
      <c r="F85" s="69"/>
      <c r="G85" s="69"/>
      <c r="H85" s="69"/>
      <c r="I85" s="69"/>
      <c r="J85" s="69"/>
    </row>
    <row r="86" spans="1:10">
      <c r="A86" s="69"/>
      <c r="B86" s="69"/>
      <c r="C86" s="65"/>
      <c r="D86" s="69"/>
      <c r="E86" s="69"/>
      <c r="F86" s="69"/>
      <c r="G86" s="69"/>
      <c r="H86" s="69"/>
      <c r="I86" s="69"/>
      <c r="J86" s="69"/>
    </row>
    <row r="87" spans="1:10">
      <c r="A87" s="69"/>
      <c r="B87" s="69"/>
      <c r="C87" s="65"/>
      <c r="D87" s="69"/>
      <c r="E87" s="69"/>
      <c r="F87" s="69"/>
      <c r="G87" s="69"/>
      <c r="H87" s="69"/>
      <c r="I87" s="69"/>
      <c r="J87" s="69"/>
    </row>
    <row r="88" spans="1:10">
      <c r="A88" s="69"/>
      <c r="B88" s="69"/>
      <c r="C88" s="65"/>
      <c r="D88" s="69"/>
      <c r="E88" s="69"/>
      <c r="F88" s="69"/>
      <c r="G88" s="69"/>
      <c r="H88" s="69"/>
      <c r="I88" s="69"/>
      <c r="J88" s="69"/>
    </row>
    <row r="89" spans="1:10">
      <c r="A89" s="69"/>
      <c r="B89" s="69"/>
      <c r="C89" s="65"/>
      <c r="D89" s="69"/>
      <c r="E89" s="69"/>
      <c r="F89" s="69"/>
      <c r="G89" s="69"/>
      <c r="H89" s="69"/>
      <c r="I89" s="69"/>
      <c r="J89" s="69"/>
    </row>
    <row r="90" spans="1:10">
      <c r="A90" s="69"/>
      <c r="B90" s="69"/>
      <c r="C90" s="65"/>
      <c r="D90" s="69"/>
      <c r="E90" s="69"/>
      <c r="F90" s="69"/>
      <c r="G90" s="69"/>
      <c r="H90" s="69"/>
      <c r="I90" s="69"/>
      <c r="J90" s="69"/>
    </row>
    <row r="91" spans="1:10">
      <c r="A91" s="69"/>
      <c r="B91" s="69"/>
      <c r="C91" s="65"/>
      <c r="D91" s="69"/>
      <c r="E91" s="69"/>
      <c r="F91" s="69"/>
      <c r="G91" s="69"/>
      <c r="H91" s="69"/>
      <c r="I91" s="69"/>
      <c r="J91" s="69"/>
    </row>
    <row r="92" spans="1:10">
      <c r="A92" s="69"/>
      <c r="B92" s="69"/>
      <c r="C92" s="65"/>
      <c r="D92" s="69"/>
      <c r="E92" s="69"/>
      <c r="F92" s="69"/>
      <c r="G92" s="69"/>
      <c r="H92" s="69"/>
      <c r="I92" s="69"/>
      <c r="J92" s="69"/>
    </row>
    <row r="93" spans="1:10">
      <c r="A93" s="69"/>
      <c r="B93" s="69"/>
      <c r="C93" s="65"/>
      <c r="D93" s="69"/>
      <c r="E93" s="69"/>
      <c r="F93" s="69"/>
      <c r="G93" s="69"/>
      <c r="H93" s="69"/>
      <c r="I93" s="69"/>
      <c r="J93" s="69"/>
    </row>
    <row r="94" spans="1:10">
      <c r="A94" s="69"/>
      <c r="B94" s="69"/>
      <c r="C94" s="65"/>
      <c r="D94" s="69"/>
      <c r="E94" s="69"/>
      <c r="F94" s="69"/>
      <c r="G94" s="69"/>
      <c r="H94" s="69"/>
      <c r="I94" s="69"/>
      <c r="J94" s="69"/>
    </row>
    <row r="95" spans="1:10">
      <c r="C95" s="4"/>
    </row>
    <row r="96" spans="1:10">
      <c r="C96" s="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</sheetData>
  <mergeCells count="12">
    <mergeCell ref="C72:F72"/>
    <mergeCell ref="H72:J72"/>
    <mergeCell ref="C71:F71"/>
    <mergeCell ref="H71:J71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78740157480314965" right="0.39370078740157483" top="0.59055118110236227" bottom="0.39370078740157483" header="0.31496062992125984" footer="0.51181102362204722"/>
  <pageSetup paperSize="9" scale="57" orientation="landscape" r:id="rId1"/>
  <headerFooter alignWithMargins="0"/>
  <rowBreaks count="1" manualBreakCount="1">
    <brk id="35" max="9" man="1"/>
  </rowBreaks>
  <ignoredErrors>
    <ignoredError sqref="F57 F14 F8 F22 F26 F19 F35 F37 F42 F48 F52 F59 F50 F65" formula="1"/>
    <ignoredError sqref="C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51"/>
  <sheetViews>
    <sheetView view="pageBreakPreview" topLeftCell="A13" zoomScale="90" zoomScaleSheetLayoutView="90" workbookViewId="0">
      <selection activeCell="A24" sqref="A24:XFD24"/>
    </sheetView>
  </sheetViews>
  <sheetFormatPr defaultRowHeight="12.75"/>
  <cols>
    <col min="1" max="1" width="6.5703125" style="75" customWidth="1"/>
    <col min="2" max="2" width="76.85546875" style="75" customWidth="1"/>
    <col min="3" max="3" width="7.42578125" style="75" customWidth="1"/>
    <col min="4" max="4" width="9.140625" style="75"/>
    <col min="5" max="5" width="11" style="75" customWidth="1"/>
    <col min="6" max="6" width="11.28515625" style="75" customWidth="1"/>
    <col min="7" max="7" width="9.28515625" style="75" customWidth="1"/>
    <col min="8" max="9" width="9.85546875" style="75" customWidth="1"/>
    <col min="10" max="10" width="9.28515625" style="75" customWidth="1"/>
    <col min="11" max="258" width="9.140625" style="75"/>
    <col min="259" max="259" width="5.5703125" style="75" customWidth="1"/>
    <col min="260" max="260" width="74.85546875" style="75" customWidth="1"/>
    <col min="261" max="261" width="9.140625" style="75"/>
    <col min="262" max="262" width="12.85546875" style="75" customWidth="1"/>
    <col min="263" max="263" width="12" style="75" customWidth="1"/>
    <col min="264" max="264" width="14.42578125" style="75" customWidth="1"/>
    <col min="265" max="265" width="14.85546875" style="75" customWidth="1"/>
    <col min="266" max="266" width="13.85546875" style="75" customWidth="1"/>
    <col min="267" max="514" width="9.140625" style="75"/>
    <col min="515" max="515" width="5.5703125" style="75" customWidth="1"/>
    <col min="516" max="516" width="74.85546875" style="75" customWidth="1"/>
    <col min="517" max="517" width="9.140625" style="75"/>
    <col min="518" max="518" width="12.85546875" style="75" customWidth="1"/>
    <col min="519" max="519" width="12" style="75" customWidth="1"/>
    <col min="520" max="520" width="14.42578125" style="75" customWidth="1"/>
    <col min="521" max="521" width="14.85546875" style="75" customWidth="1"/>
    <col min="522" max="522" width="13.85546875" style="75" customWidth="1"/>
    <col min="523" max="770" width="9.140625" style="75"/>
    <col min="771" max="771" width="5.5703125" style="75" customWidth="1"/>
    <col min="772" max="772" width="74.85546875" style="75" customWidth="1"/>
    <col min="773" max="773" width="9.140625" style="75"/>
    <col min="774" max="774" width="12.85546875" style="75" customWidth="1"/>
    <col min="775" max="775" width="12" style="75" customWidth="1"/>
    <col min="776" max="776" width="14.42578125" style="75" customWidth="1"/>
    <col min="777" max="777" width="14.85546875" style="75" customWidth="1"/>
    <col min="778" max="778" width="13.85546875" style="75" customWidth="1"/>
    <col min="779" max="1026" width="9.140625" style="75"/>
    <col min="1027" max="1027" width="5.5703125" style="75" customWidth="1"/>
    <col min="1028" max="1028" width="74.85546875" style="75" customWidth="1"/>
    <col min="1029" max="1029" width="9.140625" style="75"/>
    <col min="1030" max="1030" width="12.85546875" style="75" customWidth="1"/>
    <col min="1031" max="1031" width="12" style="75" customWidth="1"/>
    <col min="1032" max="1032" width="14.42578125" style="75" customWidth="1"/>
    <col min="1033" max="1033" width="14.85546875" style="75" customWidth="1"/>
    <col min="1034" max="1034" width="13.85546875" style="75" customWidth="1"/>
    <col min="1035" max="1282" width="9.140625" style="75"/>
    <col min="1283" max="1283" width="5.5703125" style="75" customWidth="1"/>
    <col min="1284" max="1284" width="74.85546875" style="75" customWidth="1"/>
    <col min="1285" max="1285" width="9.140625" style="75"/>
    <col min="1286" max="1286" width="12.85546875" style="75" customWidth="1"/>
    <col min="1287" max="1287" width="12" style="75" customWidth="1"/>
    <col min="1288" max="1288" width="14.42578125" style="75" customWidth="1"/>
    <col min="1289" max="1289" width="14.85546875" style="75" customWidth="1"/>
    <col min="1290" max="1290" width="13.85546875" style="75" customWidth="1"/>
    <col min="1291" max="1538" width="9.140625" style="75"/>
    <col min="1539" max="1539" width="5.5703125" style="75" customWidth="1"/>
    <col min="1540" max="1540" width="74.85546875" style="75" customWidth="1"/>
    <col min="1541" max="1541" width="9.140625" style="75"/>
    <col min="1542" max="1542" width="12.85546875" style="75" customWidth="1"/>
    <col min="1543" max="1543" width="12" style="75" customWidth="1"/>
    <col min="1544" max="1544" width="14.42578125" style="75" customWidth="1"/>
    <col min="1545" max="1545" width="14.85546875" style="75" customWidth="1"/>
    <col min="1546" max="1546" width="13.85546875" style="75" customWidth="1"/>
    <col min="1547" max="1794" width="9.140625" style="75"/>
    <col min="1795" max="1795" width="5.5703125" style="75" customWidth="1"/>
    <col min="1796" max="1796" width="74.85546875" style="75" customWidth="1"/>
    <col min="1797" max="1797" width="9.140625" style="75"/>
    <col min="1798" max="1798" width="12.85546875" style="75" customWidth="1"/>
    <col min="1799" max="1799" width="12" style="75" customWidth="1"/>
    <col min="1800" max="1800" width="14.42578125" style="75" customWidth="1"/>
    <col min="1801" max="1801" width="14.85546875" style="75" customWidth="1"/>
    <col min="1802" max="1802" width="13.85546875" style="75" customWidth="1"/>
    <col min="1803" max="2050" width="9.140625" style="75"/>
    <col min="2051" max="2051" width="5.5703125" style="75" customWidth="1"/>
    <col min="2052" max="2052" width="74.85546875" style="75" customWidth="1"/>
    <col min="2053" max="2053" width="9.140625" style="75"/>
    <col min="2054" max="2054" width="12.85546875" style="75" customWidth="1"/>
    <col min="2055" max="2055" width="12" style="75" customWidth="1"/>
    <col min="2056" max="2056" width="14.42578125" style="75" customWidth="1"/>
    <col min="2057" max="2057" width="14.85546875" style="75" customWidth="1"/>
    <col min="2058" max="2058" width="13.85546875" style="75" customWidth="1"/>
    <col min="2059" max="2306" width="9.140625" style="75"/>
    <col min="2307" max="2307" width="5.5703125" style="75" customWidth="1"/>
    <col min="2308" max="2308" width="74.85546875" style="75" customWidth="1"/>
    <col min="2309" max="2309" width="9.140625" style="75"/>
    <col min="2310" max="2310" width="12.85546875" style="75" customWidth="1"/>
    <col min="2311" max="2311" width="12" style="75" customWidth="1"/>
    <col min="2312" max="2312" width="14.42578125" style="75" customWidth="1"/>
    <col min="2313" max="2313" width="14.85546875" style="75" customWidth="1"/>
    <col min="2314" max="2314" width="13.85546875" style="75" customWidth="1"/>
    <col min="2315" max="2562" width="9.140625" style="75"/>
    <col min="2563" max="2563" width="5.5703125" style="75" customWidth="1"/>
    <col min="2564" max="2564" width="74.85546875" style="75" customWidth="1"/>
    <col min="2565" max="2565" width="9.140625" style="75"/>
    <col min="2566" max="2566" width="12.85546875" style="75" customWidth="1"/>
    <col min="2567" max="2567" width="12" style="75" customWidth="1"/>
    <col min="2568" max="2568" width="14.42578125" style="75" customWidth="1"/>
    <col min="2569" max="2569" width="14.85546875" style="75" customWidth="1"/>
    <col min="2570" max="2570" width="13.85546875" style="75" customWidth="1"/>
    <col min="2571" max="2818" width="9.140625" style="75"/>
    <col min="2819" max="2819" width="5.5703125" style="75" customWidth="1"/>
    <col min="2820" max="2820" width="74.85546875" style="75" customWidth="1"/>
    <col min="2821" max="2821" width="9.140625" style="75"/>
    <col min="2822" max="2822" width="12.85546875" style="75" customWidth="1"/>
    <col min="2823" max="2823" width="12" style="75" customWidth="1"/>
    <col min="2824" max="2824" width="14.42578125" style="75" customWidth="1"/>
    <col min="2825" max="2825" width="14.85546875" style="75" customWidth="1"/>
    <col min="2826" max="2826" width="13.85546875" style="75" customWidth="1"/>
    <col min="2827" max="3074" width="9.140625" style="75"/>
    <col min="3075" max="3075" width="5.5703125" style="75" customWidth="1"/>
    <col min="3076" max="3076" width="74.85546875" style="75" customWidth="1"/>
    <col min="3077" max="3077" width="9.140625" style="75"/>
    <col min="3078" max="3078" width="12.85546875" style="75" customWidth="1"/>
    <col min="3079" max="3079" width="12" style="75" customWidth="1"/>
    <col min="3080" max="3080" width="14.42578125" style="75" customWidth="1"/>
    <col min="3081" max="3081" width="14.85546875" style="75" customWidth="1"/>
    <col min="3082" max="3082" width="13.85546875" style="75" customWidth="1"/>
    <col min="3083" max="3330" width="9.140625" style="75"/>
    <col min="3331" max="3331" width="5.5703125" style="75" customWidth="1"/>
    <col min="3332" max="3332" width="74.85546875" style="75" customWidth="1"/>
    <col min="3333" max="3333" width="9.140625" style="75"/>
    <col min="3334" max="3334" width="12.85546875" style="75" customWidth="1"/>
    <col min="3335" max="3335" width="12" style="75" customWidth="1"/>
    <col min="3336" max="3336" width="14.42578125" style="75" customWidth="1"/>
    <col min="3337" max="3337" width="14.85546875" style="75" customWidth="1"/>
    <col min="3338" max="3338" width="13.85546875" style="75" customWidth="1"/>
    <col min="3339" max="3586" width="9.140625" style="75"/>
    <col min="3587" max="3587" width="5.5703125" style="75" customWidth="1"/>
    <col min="3588" max="3588" width="74.85546875" style="75" customWidth="1"/>
    <col min="3589" max="3589" width="9.140625" style="75"/>
    <col min="3590" max="3590" width="12.85546875" style="75" customWidth="1"/>
    <col min="3591" max="3591" width="12" style="75" customWidth="1"/>
    <col min="3592" max="3592" width="14.42578125" style="75" customWidth="1"/>
    <col min="3593" max="3593" width="14.85546875" style="75" customWidth="1"/>
    <col min="3594" max="3594" width="13.85546875" style="75" customWidth="1"/>
    <col min="3595" max="3842" width="9.140625" style="75"/>
    <col min="3843" max="3843" width="5.5703125" style="75" customWidth="1"/>
    <col min="3844" max="3844" width="74.85546875" style="75" customWidth="1"/>
    <col min="3845" max="3845" width="9.140625" style="75"/>
    <col min="3846" max="3846" width="12.85546875" style="75" customWidth="1"/>
    <col min="3847" max="3847" width="12" style="75" customWidth="1"/>
    <col min="3848" max="3848" width="14.42578125" style="75" customWidth="1"/>
    <col min="3849" max="3849" width="14.85546875" style="75" customWidth="1"/>
    <col min="3850" max="3850" width="13.85546875" style="75" customWidth="1"/>
    <col min="3851" max="4098" width="9.140625" style="75"/>
    <col min="4099" max="4099" width="5.5703125" style="75" customWidth="1"/>
    <col min="4100" max="4100" width="74.85546875" style="75" customWidth="1"/>
    <col min="4101" max="4101" width="9.140625" style="75"/>
    <col min="4102" max="4102" width="12.85546875" style="75" customWidth="1"/>
    <col min="4103" max="4103" width="12" style="75" customWidth="1"/>
    <col min="4104" max="4104" width="14.42578125" style="75" customWidth="1"/>
    <col min="4105" max="4105" width="14.85546875" style="75" customWidth="1"/>
    <col min="4106" max="4106" width="13.85546875" style="75" customWidth="1"/>
    <col min="4107" max="4354" width="9.140625" style="75"/>
    <col min="4355" max="4355" width="5.5703125" style="75" customWidth="1"/>
    <col min="4356" max="4356" width="74.85546875" style="75" customWidth="1"/>
    <col min="4357" max="4357" width="9.140625" style="75"/>
    <col min="4358" max="4358" width="12.85546875" style="75" customWidth="1"/>
    <col min="4359" max="4359" width="12" style="75" customWidth="1"/>
    <col min="4360" max="4360" width="14.42578125" style="75" customWidth="1"/>
    <col min="4361" max="4361" width="14.85546875" style="75" customWidth="1"/>
    <col min="4362" max="4362" width="13.85546875" style="75" customWidth="1"/>
    <col min="4363" max="4610" width="9.140625" style="75"/>
    <col min="4611" max="4611" width="5.5703125" style="75" customWidth="1"/>
    <col min="4612" max="4612" width="74.85546875" style="75" customWidth="1"/>
    <col min="4613" max="4613" width="9.140625" style="75"/>
    <col min="4614" max="4614" width="12.85546875" style="75" customWidth="1"/>
    <col min="4615" max="4615" width="12" style="75" customWidth="1"/>
    <col min="4616" max="4616" width="14.42578125" style="75" customWidth="1"/>
    <col min="4617" max="4617" width="14.85546875" style="75" customWidth="1"/>
    <col min="4618" max="4618" width="13.85546875" style="75" customWidth="1"/>
    <col min="4619" max="4866" width="9.140625" style="75"/>
    <col min="4867" max="4867" width="5.5703125" style="75" customWidth="1"/>
    <col min="4868" max="4868" width="74.85546875" style="75" customWidth="1"/>
    <col min="4869" max="4869" width="9.140625" style="75"/>
    <col min="4870" max="4870" width="12.85546875" style="75" customWidth="1"/>
    <col min="4871" max="4871" width="12" style="75" customWidth="1"/>
    <col min="4872" max="4872" width="14.42578125" style="75" customWidth="1"/>
    <col min="4873" max="4873" width="14.85546875" style="75" customWidth="1"/>
    <col min="4874" max="4874" width="13.85546875" style="75" customWidth="1"/>
    <col min="4875" max="5122" width="9.140625" style="75"/>
    <col min="5123" max="5123" width="5.5703125" style="75" customWidth="1"/>
    <col min="5124" max="5124" width="74.85546875" style="75" customWidth="1"/>
    <col min="5125" max="5125" width="9.140625" style="75"/>
    <col min="5126" max="5126" width="12.85546875" style="75" customWidth="1"/>
    <col min="5127" max="5127" width="12" style="75" customWidth="1"/>
    <col min="5128" max="5128" width="14.42578125" style="75" customWidth="1"/>
    <col min="5129" max="5129" width="14.85546875" style="75" customWidth="1"/>
    <col min="5130" max="5130" width="13.85546875" style="75" customWidth="1"/>
    <col min="5131" max="5378" width="9.140625" style="75"/>
    <col min="5379" max="5379" width="5.5703125" style="75" customWidth="1"/>
    <col min="5380" max="5380" width="74.85546875" style="75" customWidth="1"/>
    <col min="5381" max="5381" width="9.140625" style="75"/>
    <col min="5382" max="5382" width="12.85546875" style="75" customWidth="1"/>
    <col min="5383" max="5383" width="12" style="75" customWidth="1"/>
    <col min="5384" max="5384" width="14.42578125" style="75" customWidth="1"/>
    <col min="5385" max="5385" width="14.85546875" style="75" customWidth="1"/>
    <col min="5386" max="5386" width="13.85546875" style="75" customWidth="1"/>
    <col min="5387" max="5634" width="9.140625" style="75"/>
    <col min="5635" max="5635" width="5.5703125" style="75" customWidth="1"/>
    <col min="5636" max="5636" width="74.85546875" style="75" customWidth="1"/>
    <col min="5637" max="5637" width="9.140625" style="75"/>
    <col min="5638" max="5638" width="12.85546875" style="75" customWidth="1"/>
    <col min="5639" max="5639" width="12" style="75" customWidth="1"/>
    <col min="5640" max="5640" width="14.42578125" style="75" customWidth="1"/>
    <col min="5641" max="5641" width="14.85546875" style="75" customWidth="1"/>
    <col min="5642" max="5642" width="13.85546875" style="75" customWidth="1"/>
    <col min="5643" max="5890" width="9.140625" style="75"/>
    <col min="5891" max="5891" width="5.5703125" style="75" customWidth="1"/>
    <col min="5892" max="5892" width="74.85546875" style="75" customWidth="1"/>
    <col min="5893" max="5893" width="9.140625" style="75"/>
    <col min="5894" max="5894" width="12.85546875" style="75" customWidth="1"/>
    <col min="5895" max="5895" width="12" style="75" customWidth="1"/>
    <col min="5896" max="5896" width="14.42578125" style="75" customWidth="1"/>
    <col min="5897" max="5897" width="14.85546875" style="75" customWidth="1"/>
    <col min="5898" max="5898" width="13.85546875" style="75" customWidth="1"/>
    <col min="5899" max="6146" width="9.140625" style="75"/>
    <col min="6147" max="6147" width="5.5703125" style="75" customWidth="1"/>
    <col min="6148" max="6148" width="74.85546875" style="75" customWidth="1"/>
    <col min="6149" max="6149" width="9.140625" style="75"/>
    <col min="6150" max="6150" width="12.85546875" style="75" customWidth="1"/>
    <col min="6151" max="6151" width="12" style="75" customWidth="1"/>
    <col min="6152" max="6152" width="14.42578125" style="75" customWidth="1"/>
    <col min="6153" max="6153" width="14.85546875" style="75" customWidth="1"/>
    <col min="6154" max="6154" width="13.85546875" style="75" customWidth="1"/>
    <col min="6155" max="6402" width="9.140625" style="75"/>
    <col min="6403" max="6403" width="5.5703125" style="75" customWidth="1"/>
    <col min="6404" max="6404" width="74.85546875" style="75" customWidth="1"/>
    <col min="6405" max="6405" width="9.140625" style="75"/>
    <col min="6406" max="6406" width="12.85546875" style="75" customWidth="1"/>
    <col min="6407" max="6407" width="12" style="75" customWidth="1"/>
    <col min="6408" max="6408" width="14.42578125" style="75" customWidth="1"/>
    <col min="6409" max="6409" width="14.85546875" style="75" customWidth="1"/>
    <col min="6410" max="6410" width="13.85546875" style="75" customWidth="1"/>
    <col min="6411" max="6658" width="9.140625" style="75"/>
    <col min="6659" max="6659" width="5.5703125" style="75" customWidth="1"/>
    <col min="6660" max="6660" width="74.85546875" style="75" customWidth="1"/>
    <col min="6661" max="6661" width="9.140625" style="75"/>
    <col min="6662" max="6662" width="12.85546875" style="75" customWidth="1"/>
    <col min="6663" max="6663" width="12" style="75" customWidth="1"/>
    <col min="6664" max="6664" width="14.42578125" style="75" customWidth="1"/>
    <col min="6665" max="6665" width="14.85546875" style="75" customWidth="1"/>
    <col min="6666" max="6666" width="13.85546875" style="75" customWidth="1"/>
    <col min="6667" max="6914" width="9.140625" style="75"/>
    <col min="6915" max="6915" width="5.5703125" style="75" customWidth="1"/>
    <col min="6916" max="6916" width="74.85546875" style="75" customWidth="1"/>
    <col min="6917" max="6917" width="9.140625" style="75"/>
    <col min="6918" max="6918" width="12.85546875" style="75" customWidth="1"/>
    <col min="6919" max="6919" width="12" style="75" customWidth="1"/>
    <col min="6920" max="6920" width="14.42578125" style="75" customWidth="1"/>
    <col min="6921" max="6921" width="14.85546875" style="75" customWidth="1"/>
    <col min="6922" max="6922" width="13.85546875" style="75" customWidth="1"/>
    <col min="6923" max="7170" width="9.140625" style="75"/>
    <col min="7171" max="7171" width="5.5703125" style="75" customWidth="1"/>
    <col min="7172" max="7172" width="74.85546875" style="75" customWidth="1"/>
    <col min="7173" max="7173" width="9.140625" style="75"/>
    <col min="7174" max="7174" width="12.85546875" style="75" customWidth="1"/>
    <col min="7175" max="7175" width="12" style="75" customWidth="1"/>
    <col min="7176" max="7176" width="14.42578125" style="75" customWidth="1"/>
    <col min="7177" max="7177" width="14.85546875" style="75" customWidth="1"/>
    <col min="7178" max="7178" width="13.85546875" style="75" customWidth="1"/>
    <col min="7179" max="7426" width="9.140625" style="75"/>
    <col min="7427" max="7427" width="5.5703125" style="75" customWidth="1"/>
    <col min="7428" max="7428" width="74.85546875" style="75" customWidth="1"/>
    <col min="7429" max="7429" width="9.140625" style="75"/>
    <col min="7430" max="7430" width="12.85546875" style="75" customWidth="1"/>
    <col min="7431" max="7431" width="12" style="75" customWidth="1"/>
    <col min="7432" max="7432" width="14.42578125" style="75" customWidth="1"/>
    <col min="7433" max="7433" width="14.85546875" style="75" customWidth="1"/>
    <col min="7434" max="7434" width="13.85546875" style="75" customWidth="1"/>
    <col min="7435" max="7682" width="9.140625" style="75"/>
    <col min="7683" max="7683" width="5.5703125" style="75" customWidth="1"/>
    <col min="7684" max="7684" width="74.85546875" style="75" customWidth="1"/>
    <col min="7685" max="7685" width="9.140625" style="75"/>
    <col min="7686" max="7686" width="12.85546875" style="75" customWidth="1"/>
    <col min="7687" max="7687" width="12" style="75" customWidth="1"/>
    <col min="7688" max="7688" width="14.42578125" style="75" customWidth="1"/>
    <col min="7689" max="7689" width="14.85546875" style="75" customWidth="1"/>
    <col min="7690" max="7690" width="13.85546875" style="75" customWidth="1"/>
    <col min="7691" max="7938" width="9.140625" style="75"/>
    <col min="7939" max="7939" width="5.5703125" style="75" customWidth="1"/>
    <col min="7940" max="7940" width="74.85546875" style="75" customWidth="1"/>
    <col min="7941" max="7941" width="9.140625" style="75"/>
    <col min="7942" max="7942" width="12.85546875" style="75" customWidth="1"/>
    <col min="7943" max="7943" width="12" style="75" customWidth="1"/>
    <col min="7944" max="7944" width="14.42578125" style="75" customWidth="1"/>
    <col min="7945" max="7945" width="14.85546875" style="75" customWidth="1"/>
    <col min="7946" max="7946" width="13.85546875" style="75" customWidth="1"/>
    <col min="7947" max="8194" width="9.140625" style="75"/>
    <col min="8195" max="8195" width="5.5703125" style="75" customWidth="1"/>
    <col min="8196" max="8196" width="74.85546875" style="75" customWidth="1"/>
    <col min="8197" max="8197" width="9.140625" style="75"/>
    <col min="8198" max="8198" width="12.85546875" style="75" customWidth="1"/>
    <col min="8199" max="8199" width="12" style="75" customWidth="1"/>
    <col min="8200" max="8200" width="14.42578125" style="75" customWidth="1"/>
    <col min="8201" max="8201" width="14.85546875" style="75" customWidth="1"/>
    <col min="8202" max="8202" width="13.85546875" style="75" customWidth="1"/>
    <col min="8203" max="8450" width="9.140625" style="75"/>
    <col min="8451" max="8451" width="5.5703125" style="75" customWidth="1"/>
    <col min="8452" max="8452" width="74.85546875" style="75" customWidth="1"/>
    <col min="8453" max="8453" width="9.140625" style="75"/>
    <col min="8454" max="8454" width="12.85546875" style="75" customWidth="1"/>
    <col min="8455" max="8455" width="12" style="75" customWidth="1"/>
    <col min="8456" max="8456" width="14.42578125" style="75" customWidth="1"/>
    <col min="8457" max="8457" width="14.85546875" style="75" customWidth="1"/>
    <col min="8458" max="8458" width="13.85546875" style="75" customWidth="1"/>
    <col min="8459" max="8706" width="9.140625" style="75"/>
    <col min="8707" max="8707" width="5.5703125" style="75" customWidth="1"/>
    <col min="8708" max="8708" width="74.85546875" style="75" customWidth="1"/>
    <col min="8709" max="8709" width="9.140625" style="75"/>
    <col min="8710" max="8710" width="12.85546875" style="75" customWidth="1"/>
    <col min="8711" max="8711" width="12" style="75" customWidth="1"/>
    <col min="8712" max="8712" width="14.42578125" style="75" customWidth="1"/>
    <col min="8713" max="8713" width="14.85546875" style="75" customWidth="1"/>
    <col min="8714" max="8714" width="13.85546875" style="75" customWidth="1"/>
    <col min="8715" max="8962" width="9.140625" style="75"/>
    <col min="8963" max="8963" width="5.5703125" style="75" customWidth="1"/>
    <col min="8964" max="8964" width="74.85546875" style="75" customWidth="1"/>
    <col min="8965" max="8965" width="9.140625" style="75"/>
    <col min="8966" max="8966" width="12.85546875" style="75" customWidth="1"/>
    <col min="8967" max="8967" width="12" style="75" customWidth="1"/>
    <col min="8968" max="8968" width="14.42578125" style="75" customWidth="1"/>
    <col min="8969" max="8969" width="14.85546875" style="75" customWidth="1"/>
    <col min="8970" max="8970" width="13.85546875" style="75" customWidth="1"/>
    <col min="8971" max="9218" width="9.140625" style="75"/>
    <col min="9219" max="9219" width="5.5703125" style="75" customWidth="1"/>
    <col min="9220" max="9220" width="74.85546875" style="75" customWidth="1"/>
    <col min="9221" max="9221" width="9.140625" style="75"/>
    <col min="9222" max="9222" width="12.85546875" style="75" customWidth="1"/>
    <col min="9223" max="9223" width="12" style="75" customWidth="1"/>
    <col min="9224" max="9224" width="14.42578125" style="75" customWidth="1"/>
    <col min="9225" max="9225" width="14.85546875" style="75" customWidth="1"/>
    <col min="9226" max="9226" width="13.85546875" style="75" customWidth="1"/>
    <col min="9227" max="9474" width="9.140625" style="75"/>
    <col min="9475" max="9475" width="5.5703125" style="75" customWidth="1"/>
    <col min="9476" max="9476" width="74.85546875" style="75" customWidth="1"/>
    <col min="9477" max="9477" width="9.140625" style="75"/>
    <col min="9478" max="9478" width="12.85546875" style="75" customWidth="1"/>
    <col min="9479" max="9479" width="12" style="75" customWidth="1"/>
    <col min="9480" max="9480" width="14.42578125" style="75" customWidth="1"/>
    <col min="9481" max="9481" width="14.85546875" style="75" customWidth="1"/>
    <col min="9482" max="9482" width="13.85546875" style="75" customWidth="1"/>
    <col min="9483" max="9730" width="9.140625" style="75"/>
    <col min="9731" max="9731" width="5.5703125" style="75" customWidth="1"/>
    <col min="9732" max="9732" width="74.85546875" style="75" customWidth="1"/>
    <col min="9733" max="9733" width="9.140625" style="75"/>
    <col min="9734" max="9734" width="12.85546875" style="75" customWidth="1"/>
    <col min="9735" max="9735" width="12" style="75" customWidth="1"/>
    <col min="9736" max="9736" width="14.42578125" style="75" customWidth="1"/>
    <col min="9737" max="9737" width="14.85546875" style="75" customWidth="1"/>
    <col min="9738" max="9738" width="13.85546875" style="75" customWidth="1"/>
    <col min="9739" max="9986" width="9.140625" style="75"/>
    <col min="9987" max="9987" width="5.5703125" style="75" customWidth="1"/>
    <col min="9988" max="9988" width="74.85546875" style="75" customWidth="1"/>
    <col min="9989" max="9989" width="9.140625" style="75"/>
    <col min="9990" max="9990" width="12.85546875" style="75" customWidth="1"/>
    <col min="9991" max="9991" width="12" style="75" customWidth="1"/>
    <col min="9992" max="9992" width="14.42578125" style="75" customWidth="1"/>
    <col min="9993" max="9993" width="14.85546875" style="75" customWidth="1"/>
    <col min="9994" max="9994" width="13.85546875" style="75" customWidth="1"/>
    <col min="9995" max="10242" width="9.140625" style="75"/>
    <col min="10243" max="10243" width="5.5703125" style="75" customWidth="1"/>
    <col min="10244" max="10244" width="74.85546875" style="75" customWidth="1"/>
    <col min="10245" max="10245" width="9.140625" style="75"/>
    <col min="10246" max="10246" width="12.85546875" style="75" customWidth="1"/>
    <col min="10247" max="10247" width="12" style="75" customWidth="1"/>
    <col min="10248" max="10248" width="14.42578125" style="75" customWidth="1"/>
    <col min="10249" max="10249" width="14.85546875" style="75" customWidth="1"/>
    <col min="10250" max="10250" width="13.85546875" style="75" customWidth="1"/>
    <col min="10251" max="10498" width="9.140625" style="75"/>
    <col min="10499" max="10499" width="5.5703125" style="75" customWidth="1"/>
    <col min="10500" max="10500" width="74.85546875" style="75" customWidth="1"/>
    <col min="10501" max="10501" width="9.140625" style="75"/>
    <col min="10502" max="10502" width="12.85546875" style="75" customWidth="1"/>
    <col min="10503" max="10503" width="12" style="75" customWidth="1"/>
    <col min="10504" max="10504" width="14.42578125" style="75" customWidth="1"/>
    <col min="10505" max="10505" width="14.85546875" style="75" customWidth="1"/>
    <col min="10506" max="10506" width="13.85546875" style="75" customWidth="1"/>
    <col min="10507" max="10754" width="9.140625" style="75"/>
    <col min="10755" max="10755" width="5.5703125" style="75" customWidth="1"/>
    <col min="10756" max="10756" width="74.85546875" style="75" customWidth="1"/>
    <col min="10757" max="10757" width="9.140625" style="75"/>
    <col min="10758" max="10758" width="12.85546875" style="75" customWidth="1"/>
    <col min="10759" max="10759" width="12" style="75" customWidth="1"/>
    <col min="10760" max="10760" width="14.42578125" style="75" customWidth="1"/>
    <col min="10761" max="10761" width="14.85546875" style="75" customWidth="1"/>
    <col min="10762" max="10762" width="13.85546875" style="75" customWidth="1"/>
    <col min="10763" max="11010" width="9.140625" style="75"/>
    <col min="11011" max="11011" width="5.5703125" style="75" customWidth="1"/>
    <col min="11012" max="11012" width="74.85546875" style="75" customWidth="1"/>
    <col min="11013" max="11013" width="9.140625" style="75"/>
    <col min="11014" max="11014" width="12.85546875" style="75" customWidth="1"/>
    <col min="11015" max="11015" width="12" style="75" customWidth="1"/>
    <col min="11016" max="11016" width="14.42578125" style="75" customWidth="1"/>
    <col min="11017" max="11017" width="14.85546875" style="75" customWidth="1"/>
    <col min="11018" max="11018" width="13.85546875" style="75" customWidth="1"/>
    <col min="11019" max="11266" width="9.140625" style="75"/>
    <col min="11267" max="11267" width="5.5703125" style="75" customWidth="1"/>
    <col min="11268" max="11268" width="74.85546875" style="75" customWidth="1"/>
    <col min="11269" max="11269" width="9.140625" style="75"/>
    <col min="11270" max="11270" width="12.85546875" style="75" customWidth="1"/>
    <col min="11271" max="11271" width="12" style="75" customWidth="1"/>
    <col min="11272" max="11272" width="14.42578125" style="75" customWidth="1"/>
    <col min="11273" max="11273" width="14.85546875" style="75" customWidth="1"/>
    <col min="11274" max="11274" width="13.85546875" style="75" customWidth="1"/>
    <col min="11275" max="11522" width="9.140625" style="75"/>
    <col min="11523" max="11523" width="5.5703125" style="75" customWidth="1"/>
    <col min="11524" max="11524" width="74.85546875" style="75" customWidth="1"/>
    <col min="11525" max="11525" width="9.140625" style="75"/>
    <col min="11526" max="11526" width="12.85546875" style="75" customWidth="1"/>
    <col min="11527" max="11527" width="12" style="75" customWidth="1"/>
    <col min="11528" max="11528" width="14.42578125" style="75" customWidth="1"/>
    <col min="11529" max="11529" width="14.85546875" style="75" customWidth="1"/>
    <col min="11530" max="11530" width="13.85546875" style="75" customWidth="1"/>
    <col min="11531" max="11778" width="9.140625" style="75"/>
    <col min="11779" max="11779" width="5.5703125" style="75" customWidth="1"/>
    <col min="11780" max="11780" width="74.85546875" style="75" customWidth="1"/>
    <col min="11781" max="11781" width="9.140625" style="75"/>
    <col min="11782" max="11782" width="12.85546875" style="75" customWidth="1"/>
    <col min="11783" max="11783" width="12" style="75" customWidth="1"/>
    <col min="11784" max="11784" width="14.42578125" style="75" customWidth="1"/>
    <col min="11785" max="11785" width="14.85546875" style="75" customWidth="1"/>
    <col min="11786" max="11786" width="13.85546875" style="75" customWidth="1"/>
    <col min="11787" max="12034" width="9.140625" style="75"/>
    <col min="12035" max="12035" width="5.5703125" style="75" customWidth="1"/>
    <col min="12036" max="12036" width="74.85546875" style="75" customWidth="1"/>
    <col min="12037" max="12037" width="9.140625" style="75"/>
    <col min="12038" max="12038" width="12.85546875" style="75" customWidth="1"/>
    <col min="12039" max="12039" width="12" style="75" customWidth="1"/>
    <col min="12040" max="12040" width="14.42578125" style="75" customWidth="1"/>
    <col min="12041" max="12041" width="14.85546875" style="75" customWidth="1"/>
    <col min="12042" max="12042" width="13.85546875" style="75" customWidth="1"/>
    <col min="12043" max="12290" width="9.140625" style="75"/>
    <col min="12291" max="12291" width="5.5703125" style="75" customWidth="1"/>
    <col min="12292" max="12292" width="74.85546875" style="75" customWidth="1"/>
    <col min="12293" max="12293" width="9.140625" style="75"/>
    <col min="12294" max="12294" width="12.85546875" style="75" customWidth="1"/>
    <col min="12295" max="12295" width="12" style="75" customWidth="1"/>
    <col min="12296" max="12296" width="14.42578125" style="75" customWidth="1"/>
    <col min="12297" max="12297" width="14.85546875" style="75" customWidth="1"/>
    <col min="12298" max="12298" width="13.85546875" style="75" customWidth="1"/>
    <col min="12299" max="12546" width="9.140625" style="75"/>
    <col min="12547" max="12547" width="5.5703125" style="75" customWidth="1"/>
    <col min="12548" max="12548" width="74.85546875" style="75" customWidth="1"/>
    <col min="12549" max="12549" width="9.140625" style="75"/>
    <col min="12550" max="12550" width="12.85546875" style="75" customWidth="1"/>
    <col min="12551" max="12551" width="12" style="75" customWidth="1"/>
    <col min="12552" max="12552" width="14.42578125" style="75" customWidth="1"/>
    <col min="12553" max="12553" width="14.85546875" style="75" customWidth="1"/>
    <col min="12554" max="12554" width="13.85546875" style="75" customWidth="1"/>
    <col min="12555" max="12802" width="9.140625" style="75"/>
    <col min="12803" max="12803" width="5.5703125" style="75" customWidth="1"/>
    <col min="12804" max="12804" width="74.85546875" style="75" customWidth="1"/>
    <col min="12805" max="12805" width="9.140625" style="75"/>
    <col min="12806" max="12806" width="12.85546875" style="75" customWidth="1"/>
    <col min="12807" max="12807" width="12" style="75" customWidth="1"/>
    <col min="12808" max="12808" width="14.42578125" style="75" customWidth="1"/>
    <col min="12809" max="12809" width="14.85546875" style="75" customWidth="1"/>
    <col min="12810" max="12810" width="13.85546875" style="75" customWidth="1"/>
    <col min="12811" max="13058" width="9.140625" style="75"/>
    <col min="13059" max="13059" width="5.5703125" style="75" customWidth="1"/>
    <col min="13060" max="13060" width="74.85546875" style="75" customWidth="1"/>
    <col min="13061" max="13061" width="9.140625" style="75"/>
    <col min="13062" max="13062" width="12.85546875" style="75" customWidth="1"/>
    <col min="13063" max="13063" width="12" style="75" customWidth="1"/>
    <col min="13064" max="13064" width="14.42578125" style="75" customWidth="1"/>
    <col min="13065" max="13065" width="14.85546875" style="75" customWidth="1"/>
    <col min="13066" max="13066" width="13.85546875" style="75" customWidth="1"/>
    <col min="13067" max="13314" width="9.140625" style="75"/>
    <col min="13315" max="13315" width="5.5703125" style="75" customWidth="1"/>
    <col min="13316" max="13316" width="74.85546875" style="75" customWidth="1"/>
    <col min="13317" max="13317" width="9.140625" style="75"/>
    <col min="13318" max="13318" width="12.85546875" style="75" customWidth="1"/>
    <col min="13319" max="13319" width="12" style="75" customWidth="1"/>
    <col min="13320" max="13320" width="14.42578125" style="75" customWidth="1"/>
    <col min="13321" max="13321" width="14.85546875" style="75" customWidth="1"/>
    <col min="13322" max="13322" width="13.85546875" style="75" customWidth="1"/>
    <col min="13323" max="13570" width="9.140625" style="75"/>
    <col min="13571" max="13571" width="5.5703125" style="75" customWidth="1"/>
    <col min="13572" max="13572" width="74.85546875" style="75" customWidth="1"/>
    <col min="13573" max="13573" width="9.140625" style="75"/>
    <col min="13574" max="13574" width="12.85546875" style="75" customWidth="1"/>
    <col min="13575" max="13575" width="12" style="75" customWidth="1"/>
    <col min="13576" max="13576" width="14.42578125" style="75" customWidth="1"/>
    <col min="13577" max="13577" width="14.85546875" style="75" customWidth="1"/>
    <col min="13578" max="13578" width="13.85546875" style="75" customWidth="1"/>
    <col min="13579" max="13826" width="9.140625" style="75"/>
    <col min="13827" max="13827" width="5.5703125" style="75" customWidth="1"/>
    <col min="13828" max="13828" width="74.85546875" style="75" customWidth="1"/>
    <col min="13829" max="13829" width="9.140625" style="75"/>
    <col min="13830" max="13830" width="12.85546875" style="75" customWidth="1"/>
    <col min="13831" max="13831" width="12" style="75" customWidth="1"/>
    <col min="13832" max="13832" width="14.42578125" style="75" customWidth="1"/>
    <col min="13833" max="13833" width="14.85546875" style="75" customWidth="1"/>
    <col min="13834" max="13834" width="13.85546875" style="75" customWidth="1"/>
    <col min="13835" max="14082" width="9.140625" style="75"/>
    <col min="14083" max="14083" width="5.5703125" style="75" customWidth="1"/>
    <col min="14084" max="14084" width="74.85546875" style="75" customWidth="1"/>
    <col min="14085" max="14085" width="9.140625" style="75"/>
    <col min="14086" max="14086" width="12.85546875" style="75" customWidth="1"/>
    <col min="14087" max="14087" width="12" style="75" customWidth="1"/>
    <col min="14088" max="14088" width="14.42578125" style="75" customWidth="1"/>
    <col min="14089" max="14089" width="14.85546875" style="75" customWidth="1"/>
    <col min="14090" max="14090" width="13.85546875" style="75" customWidth="1"/>
    <col min="14091" max="14338" width="9.140625" style="75"/>
    <col min="14339" max="14339" width="5.5703125" style="75" customWidth="1"/>
    <col min="14340" max="14340" width="74.85546875" style="75" customWidth="1"/>
    <col min="14341" max="14341" width="9.140625" style="75"/>
    <col min="14342" max="14342" width="12.85546875" style="75" customWidth="1"/>
    <col min="14343" max="14343" width="12" style="75" customWidth="1"/>
    <col min="14344" max="14344" width="14.42578125" style="75" customWidth="1"/>
    <col min="14345" max="14345" width="14.85546875" style="75" customWidth="1"/>
    <col min="14346" max="14346" width="13.85546875" style="75" customWidth="1"/>
    <col min="14347" max="14594" width="9.140625" style="75"/>
    <col min="14595" max="14595" width="5.5703125" style="75" customWidth="1"/>
    <col min="14596" max="14596" width="74.85546875" style="75" customWidth="1"/>
    <col min="14597" max="14597" width="9.140625" style="75"/>
    <col min="14598" max="14598" width="12.85546875" style="75" customWidth="1"/>
    <col min="14599" max="14599" width="12" style="75" customWidth="1"/>
    <col min="14600" max="14600" width="14.42578125" style="75" customWidth="1"/>
    <col min="14601" max="14601" width="14.85546875" style="75" customWidth="1"/>
    <col min="14602" max="14602" width="13.85546875" style="75" customWidth="1"/>
    <col min="14603" max="14850" width="9.140625" style="75"/>
    <col min="14851" max="14851" width="5.5703125" style="75" customWidth="1"/>
    <col min="14852" max="14852" width="74.85546875" style="75" customWidth="1"/>
    <col min="14853" max="14853" width="9.140625" style="75"/>
    <col min="14854" max="14854" width="12.85546875" style="75" customWidth="1"/>
    <col min="14855" max="14855" width="12" style="75" customWidth="1"/>
    <col min="14856" max="14856" width="14.42578125" style="75" customWidth="1"/>
    <col min="14857" max="14857" width="14.85546875" style="75" customWidth="1"/>
    <col min="14858" max="14858" width="13.85546875" style="75" customWidth="1"/>
    <col min="14859" max="15106" width="9.140625" style="75"/>
    <col min="15107" max="15107" width="5.5703125" style="75" customWidth="1"/>
    <col min="15108" max="15108" width="74.85546875" style="75" customWidth="1"/>
    <col min="15109" max="15109" width="9.140625" style="75"/>
    <col min="15110" max="15110" width="12.85546875" style="75" customWidth="1"/>
    <col min="15111" max="15111" width="12" style="75" customWidth="1"/>
    <col min="15112" max="15112" width="14.42578125" style="75" customWidth="1"/>
    <col min="15113" max="15113" width="14.85546875" style="75" customWidth="1"/>
    <col min="15114" max="15114" width="13.85546875" style="75" customWidth="1"/>
    <col min="15115" max="15362" width="9.140625" style="75"/>
    <col min="15363" max="15363" width="5.5703125" style="75" customWidth="1"/>
    <col min="15364" max="15364" width="74.85546875" style="75" customWidth="1"/>
    <col min="15365" max="15365" width="9.140625" style="75"/>
    <col min="15366" max="15366" width="12.85546875" style="75" customWidth="1"/>
    <col min="15367" max="15367" width="12" style="75" customWidth="1"/>
    <col min="15368" max="15368" width="14.42578125" style="75" customWidth="1"/>
    <col min="15369" max="15369" width="14.85546875" style="75" customWidth="1"/>
    <col min="15370" max="15370" width="13.85546875" style="75" customWidth="1"/>
    <col min="15371" max="15618" width="9.140625" style="75"/>
    <col min="15619" max="15619" width="5.5703125" style="75" customWidth="1"/>
    <col min="15620" max="15620" width="74.85546875" style="75" customWidth="1"/>
    <col min="15621" max="15621" width="9.140625" style="75"/>
    <col min="15622" max="15622" width="12.85546875" style="75" customWidth="1"/>
    <col min="15623" max="15623" width="12" style="75" customWidth="1"/>
    <col min="15624" max="15624" width="14.42578125" style="75" customWidth="1"/>
    <col min="15625" max="15625" width="14.85546875" style="75" customWidth="1"/>
    <col min="15626" max="15626" width="13.85546875" style="75" customWidth="1"/>
    <col min="15627" max="15874" width="9.140625" style="75"/>
    <col min="15875" max="15875" width="5.5703125" style="75" customWidth="1"/>
    <col min="15876" max="15876" width="74.85546875" style="75" customWidth="1"/>
    <col min="15877" max="15877" width="9.140625" style="75"/>
    <col min="15878" max="15878" width="12.85546875" style="75" customWidth="1"/>
    <col min="15879" max="15879" width="12" style="75" customWidth="1"/>
    <col min="15880" max="15880" width="14.42578125" style="75" customWidth="1"/>
    <col min="15881" max="15881" width="14.85546875" style="75" customWidth="1"/>
    <col min="15882" max="15882" width="13.85546875" style="75" customWidth="1"/>
    <col min="15883" max="16130" width="9.140625" style="75"/>
    <col min="16131" max="16131" width="5.5703125" style="75" customWidth="1"/>
    <col min="16132" max="16132" width="74.85546875" style="75" customWidth="1"/>
    <col min="16133" max="16133" width="9.140625" style="75"/>
    <col min="16134" max="16134" width="12.85546875" style="75" customWidth="1"/>
    <col min="16135" max="16135" width="12" style="75" customWidth="1"/>
    <col min="16136" max="16136" width="14.42578125" style="75" customWidth="1"/>
    <col min="16137" max="16137" width="14.85546875" style="75" customWidth="1"/>
    <col min="16138" max="16138" width="13.85546875" style="75" customWidth="1"/>
    <col min="16139" max="16384" width="9.140625" style="75"/>
  </cols>
  <sheetData>
    <row r="1" spans="1:12" ht="15">
      <c r="B1" s="275"/>
      <c r="C1" s="275"/>
      <c r="D1" s="275"/>
      <c r="E1" s="275"/>
      <c r="F1" s="275"/>
      <c r="G1" s="275"/>
      <c r="H1" s="275"/>
    </row>
    <row r="2" spans="1:12" ht="15.75">
      <c r="B2" s="556" t="s">
        <v>746</v>
      </c>
      <c r="C2" s="556"/>
      <c r="D2" s="556"/>
      <c r="E2" s="556"/>
      <c r="F2" s="556"/>
      <c r="G2" s="556"/>
      <c r="H2" s="556"/>
      <c r="I2" s="556"/>
      <c r="J2" s="556"/>
    </row>
    <row r="3" spans="1:12" ht="15">
      <c r="B3" s="275"/>
      <c r="C3" s="275"/>
      <c r="D3" s="275"/>
      <c r="E3" s="275"/>
      <c r="F3" s="275"/>
      <c r="G3" s="275"/>
      <c r="H3" s="275"/>
      <c r="J3" s="276" t="s">
        <v>438</v>
      </c>
    </row>
    <row r="4" spans="1:12" ht="15.75">
      <c r="A4" s="557" t="s">
        <v>439</v>
      </c>
      <c r="B4" s="557" t="s">
        <v>179</v>
      </c>
      <c r="C4" s="558" t="s">
        <v>17</v>
      </c>
      <c r="D4" s="559"/>
      <c r="E4" s="559"/>
      <c r="F4" s="558" t="s">
        <v>520</v>
      </c>
      <c r="G4" s="558" t="s">
        <v>376</v>
      </c>
      <c r="H4" s="558"/>
      <c r="I4" s="558"/>
      <c r="J4" s="558"/>
    </row>
    <row r="5" spans="1:12" ht="60" customHeight="1">
      <c r="A5" s="557"/>
      <c r="B5" s="557"/>
      <c r="C5" s="558"/>
      <c r="D5" s="560"/>
      <c r="E5" s="560"/>
      <c r="F5" s="558"/>
      <c r="G5" s="277" t="s">
        <v>141</v>
      </c>
      <c r="H5" s="277" t="s">
        <v>142</v>
      </c>
      <c r="I5" s="277" t="s">
        <v>143</v>
      </c>
      <c r="J5" s="277" t="s">
        <v>68</v>
      </c>
    </row>
    <row r="6" spans="1:12" ht="15.75">
      <c r="A6" s="554" t="s">
        <v>440</v>
      </c>
      <c r="B6" s="555"/>
      <c r="C6" s="240"/>
      <c r="D6" s="240"/>
      <c r="E6" s="240"/>
      <c r="F6" s="278"/>
      <c r="G6" s="279"/>
      <c r="H6" s="279"/>
      <c r="I6" s="279"/>
      <c r="J6" s="279"/>
    </row>
    <row r="7" spans="1:12" ht="15.75">
      <c r="A7" s="252"/>
      <c r="B7" s="251" t="s">
        <v>441</v>
      </c>
      <c r="C7" s="240"/>
      <c r="D7" s="240"/>
      <c r="E7" s="240"/>
      <c r="F7" s="278"/>
      <c r="G7" s="279"/>
      <c r="H7" s="279"/>
      <c r="I7" s="279"/>
      <c r="J7" s="279"/>
    </row>
    <row r="8" spans="1:12" ht="15.75">
      <c r="A8" s="246">
        <v>1</v>
      </c>
      <c r="B8" s="280" t="s">
        <v>442</v>
      </c>
      <c r="C8" s="238">
        <v>3030</v>
      </c>
      <c r="D8" s="238">
        <f>D9+D10</f>
        <v>0</v>
      </c>
      <c r="E8" s="238">
        <f>E9+E10</f>
        <v>0</v>
      </c>
      <c r="F8" s="281">
        <f>SUM(G8:J8)</f>
        <v>54490</v>
      </c>
      <c r="G8" s="282">
        <f>G9+G10</f>
        <v>14098.199999999999</v>
      </c>
      <c r="H8" s="282">
        <f>H9+H10</f>
        <v>14055.5</v>
      </c>
      <c r="I8" s="282">
        <f t="shared" ref="I8:J8" si="0">I9+I10</f>
        <v>12003.5</v>
      </c>
      <c r="J8" s="282">
        <f t="shared" si="0"/>
        <v>14332.8</v>
      </c>
    </row>
    <row r="9" spans="1:12" ht="15.75">
      <c r="A9" s="270" t="s">
        <v>494</v>
      </c>
      <c r="B9" s="253" t="s">
        <v>493</v>
      </c>
      <c r="C9" s="238"/>
      <c r="D9" s="271"/>
      <c r="E9" s="271"/>
      <c r="F9" s="283">
        <f>SUM(G9:J9)</f>
        <v>46241.999999999993</v>
      </c>
      <c r="G9" s="284">
        <f>12146.3</f>
        <v>12146.3</v>
      </c>
      <c r="H9" s="285">
        <f>12729.8</f>
        <v>12729.8</v>
      </c>
      <c r="I9" s="284">
        <f>10298.8+2.5</f>
        <v>10301.299999999999</v>
      </c>
      <c r="J9" s="284">
        <f>11064.6</f>
        <v>11064.6</v>
      </c>
    </row>
    <row r="10" spans="1:12" ht="15.75">
      <c r="A10" s="239" t="s">
        <v>495</v>
      </c>
      <c r="B10" s="253" t="s">
        <v>681</v>
      </c>
      <c r="C10" s="271"/>
      <c r="D10" s="271"/>
      <c r="E10" s="268"/>
      <c r="F10" s="268">
        <f>SUM(G10:J10)</f>
        <v>8248</v>
      </c>
      <c r="G10" s="285">
        <f>1951.9</f>
        <v>1951.9</v>
      </c>
      <c r="H10" s="285">
        <f>1325.7</f>
        <v>1325.7</v>
      </c>
      <c r="I10" s="285">
        <f>1386.7+315.5</f>
        <v>1702.2</v>
      </c>
      <c r="J10" s="285">
        <f>5920.9-2652.7</f>
        <v>3268.2</v>
      </c>
      <c r="K10" s="75" t="s">
        <v>731</v>
      </c>
    </row>
    <row r="11" spans="1:12" ht="15.75">
      <c r="A11" s="237" t="s">
        <v>445</v>
      </c>
      <c r="B11" s="250" t="s">
        <v>446</v>
      </c>
      <c r="C11" s="238">
        <v>3060</v>
      </c>
      <c r="D11" s="281">
        <f>D12+D16</f>
        <v>0</v>
      </c>
      <c r="E11" s="281">
        <f>E12+E16</f>
        <v>0</v>
      </c>
      <c r="F11" s="281">
        <f t="shared" ref="F11:F16" si="1">SUM(G11:J11)</f>
        <v>1606.4</v>
      </c>
      <c r="G11" s="282">
        <f>G12+G16+G13+G14+G15</f>
        <v>389.3</v>
      </c>
      <c r="H11" s="282">
        <f>H12+H16+H13+H14+H15</f>
        <v>357.8</v>
      </c>
      <c r="I11" s="282">
        <f>I12+I16+I13+I14+I15</f>
        <v>446.90000000000003</v>
      </c>
      <c r="J11" s="282">
        <f>J12+J16+J13+J14+J15</f>
        <v>412.40000000000003</v>
      </c>
      <c r="K11" s="552" t="s">
        <v>733</v>
      </c>
      <c r="L11" s="553"/>
    </row>
    <row r="12" spans="1:12" ht="31.5">
      <c r="A12" s="239" t="s">
        <v>447</v>
      </c>
      <c r="B12" s="244" t="s">
        <v>749</v>
      </c>
      <c r="C12" s="271"/>
      <c r="D12" s="268"/>
      <c r="E12" s="271"/>
      <c r="F12" s="268">
        <f t="shared" si="1"/>
        <v>929.6</v>
      </c>
      <c r="G12" s="285">
        <v>210.6</v>
      </c>
      <c r="H12" s="285">
        <f>168.2+7.6</f>
        <v>175.79999999999998</v>
      </c>
      <c r="I12" s="285">
        <v>327.60000000000002</v>
      </c>
      <c r="J12" s="285">
        <f>194.4+16.3+4.9</f>
        <v>215.60000000000002</v>
      </c>
      <c r="K12" s="552"/>
      <c r="L12" s="553"/>
    </row>
    <row r="13" spans="1:12" ht="15.75">
      <c r="A13" s="239" t="s">
        <v>492</v>
      </c>
      <c r="B13" s="253" t="s">
        <v>748</v>
      </c>
      <c r="C13" s="271"/>
      <c r="D13" s="271"/>
      <c r="E13" s="268"/>
      <c r="F13" s="268">
        <f t="shared" si="1"/>
        <v>9.3000000000000007</v>
      </c>
      <c r="G13" s="285">
        <v>7</v>
      </c>
      <c r="H13" s="285">
        <v>0.5</v>
      </c>
      <c r="I13" s="285"/>
      <c r="J13" s="285">
        <v>1.8</v>
      </c>
      <c r="K13" s="552"/>
      <c r="L13" s="553"/>
    </row>
    <row r="14" spans="1:12" ht="15.75">
      <c r="A14" s="239" t="s">
        <v>543</v>
      </c>
      <c r="B14" s="253" t="s">
        <v>618</v>
      </c>
      <c r="C14" s="271"/>
      <c r="D14" s="271"/>
      <c r="E14" s="268"/>
      <c r="F14" s="268">
        <f t="shared" si="1"/>
        <v>599.9</v>
      </c>
      <c r="G14" s="210">
        <f>116.3+39.8</f>
        <v>156.1</v>
      </c>
      <c r="H14" s="210">
        <v>166.1</v>
      </c>
      <c r="I14" s="210">
        <v>106.8</v>
      </c>
      <c r="J14" s="210">
        <f>165.5+5.4</f>
        <v>170.9</v>
      </c>
      <c r="K14" s="552"/>
      <c r="L14" s="553"/>
    </row>
    <row r="15" spans="1:12" ht="15.75">
      <c r="A15" s="239" t="s">
        <v>667</v>
      </c>
      <c r="B15" s="244" t="s">
        <v>691</v>
      </c>
      <c r="C15" s="271"/>
      <c r="D15" s="271"/>
      <c r="E15" s="268"/>
      <c r="F15" s="268">
        <f t="shared" si="1"/>
        <v>65.8</v>
      </c>
      <c r="G15" s="198">
        <v>15.2</v>
      </c>
      <c r="H15" s="198">
        <v>14.8</v>
      </c>
      <c r="I15" s="198">
        <v>12</v>
      </c>
      <c r="J15" s="198">
        <v>23.8</v>
      </c>
      <c r="K15" s="552"/>
      <c r="L15" s="553"/>
    </row>
    <row r="16" spans="1:12" ht="15.75">
      <c r="A16" s="239" t="s">
        <v>668</v>
      </c>
      <c r="B16" s="244" t="s">
        <v>692</v>
      </c>
      <c r="C16" s="271"/>
      <c r="D16" s="271"/>
      <c r="E16" s="268"/>
      <c r="F16" s="268">
        <f t="shared" si="1"/>
        <v>1.8</v>
      </c>
      <c r="G16" s="269">
        <v>0.4</v>
      </c>
      <c r="H16" s="269">
        <v>0.6</v>
      </c>
      <c r="I16" s="269">
        <v>0.5</v>
      </c>
      <c r="J16" s="269">
        <v>0.3</v>
      </c>
      <c r="K16" s="75" t="s">
        <v>732</v>
      </c>
    </row>
    <row r="17" spans="1:10" ht="15.75">
      <c r="A17" s="242"/>
      <c r="B17" s="286" t="s">
        <v>448</v>
      </c>
      <c r="C17" s="240"/>
      <c r="D17" s="240"/>
      <c r="E17" s="240"/>
      <c r="F17" s="278"/>
      <c r="G17" s="279"/>
      <c r="H17" s="279"/>
      <c r="I17" s="279"/>
      <c r="J17" s="279"/>
    </row>
    <row r="18" spans="1:10" s="289" customFormat="1" ht="15.75" customHeight="1">
      <c r="A18" s="246">
        <v>1</v>
      </c>
      <c r="B18" s="287" t="s">
        <v>449</v>
      </c>
      <c r="C18" s="246">
        <v>3150</v>
      </c>
      <c r="D18" s="246">
        <f>D19+D20+D25</f>
        <v>0</v>
      </c>
      <c r="E18" s="246">
        <f>E19+E20+E25</f>
        <v>0</v>
      </c>
      <c r="F18" s="288">
        <f>G18+H18+I18+J18</f>
        <v>8239.7000000000007</v>
      </c>
      <c r="G18" s="288">
        <f>G19+G20</f>
        <v>1932.9</v>
      </c>
      <c r="H18" s="288">
        <f>H19+H20</f>
        <v>2091.3000000000002</v>
      </c>
      <c r="I18" s="288">
        <f>I19+I20</f>
        <v>2065.6</v>
      </c>
      <c r="J18" s="288">
        <f>J19+J20</f>
        <v>2149.9</v>
      </c>
    </row>
    <row r="19" spans="1:10" s="289" customFormat="1" ht="15.75">
      <c r="A19" s="239" t="s">
        <v>443</v>
      </c>
      <c r="B19" s="241" t="s">
        <v>450</v>
      </c>
      <c r="C19" s="241"/>
      <c r="D19" s="241"/>
      <c r="E19" s="241"/>
      <c r="F19" s="233">
        <f>G19+H19+I19+J19</f>
        <v>527.29999999999995</v>
      </c>
      <c r="G19" s="233">
        <v>124.4</v>
      </c>
      <c r="H19" s="233">
        <v>137.9</v>
      </c>
      <c r="I19" s="233">
        <f>133.1</f>
        <v>133.1</v>
      </c>
      <c r="J19" s="233">
        <v>131.9</v>
      </c>
    </row>
    <row r="20" spans="1:10" s="289" customFormat="1" ht="15.75">
      <c r="A20" s="239" t="s">
        <v>444</v>
      </c>
      <c r="B20" s="241" t="s">
        <v>451</v>
      </c>
      <c r="C20" s="241"/>
      <c r="D20" s="241"/>
      <c r="E20" s="241"/>
      <c r="F20" s="233">
        <f>G20+H20+I20+J20</f>
        <v>7712.4</v>
      </c>
      <c r="G20" s="233">
        <v>1808.5</v>
      </c>
      <c r="H20" s="233">
        <v>1953.4</v>
      </c>
      <c r="I20" s="233">
        <f>1932.5</f>
        <v>1932.5</v>
      </c>
      <c r="J20" s="233">
        <f>2018</f>
        <v>2018</v>
      </c>
    </row>
    <row r="21" spans="1:10" s="289" customFormat="1" ht="15.75">
      <c r="A21" s="237" t="s">
        <v>445</v>
      </c>
      <c r="B21" s="287" t="s">
        <v>228</v>
      </c>
      <c r="C21" s="287">
        <v>3170</v>
      </c>
      <c r="D21" s="241"/>
      <c r="E21" s="241"/>
      <c r="F21" s="288">
        <f t="shared" ref="F21:F41" si="2">G21+H21+I21+J21</f>
        <v>400.8</v>
      </c>
      <c r="G21" s="288">
        <f>G22+G23+G24+G25</f>
        <v>92.7</v>
      </c>
      <c r="H21" s="288">
        <f>H22+H23+H24+H25</f>
        <v>94.7</v>
      </c>
      <c r="I21" s="288">
        <f>I22+I23+I24+I25</f>
        <v>97.2</v>
      </c>
      <c r="J21" s="288">
        <f>J22+J23+J24+J25</f>
        <v>116.19999999999999</v>
      </c>
    </row>
    <row r="22" spans="1:10" s="289" customFormat="1" ht="15.75">
      <c r="A22" s="239" t="s">
        <v>529</v>
      </c>
      <c r="B22" s="241" t="s">
        <v>497</v>
      </c>
      <c r="C22" s="287"/>
      <c r="D22" s="241"/>
      <c r="E22" s="241"/>
      <c r="F22" s="233">
        <f t="shared" si="2"/>
        <v>268.10000000000002</v>
      </c>
      <c r="G22" s="233">
        <v>64.900000000000006</v>
      </c>
      <c r="H22" s="233">
        <v>70</v>
      </c>
      <c r="I22" s="233">
        <v>67.2</v>
      </c>
      <c r="J22" s="233">
        <v>66</v>
      </c>
    </row>
    <row r="23" spans="1:10" s="289" customFormat="1" ht="15.75">
      <c r="A23" s="239" t="s">
        <v>492</v>
      </c>
      <c r="B23" s="241" t="s">
        <v>656</v>
      </c>
      <c r="C23" s="287"/>
      <c r="D23" s="241"/>
      <c r="E23" s="241"/>
      <c r="F23" s="233">
        <f t="shared" si="2"/>
        <v>23.6</v>
      </c>
      <c r="G23" s="233">
        <v>6.2</v>
      </c>
      <c r="H23" s="233">
        <v>5.9</v>
      </c>
      <c r="I23" s="233">
        <v>5.8</v>
      </c>
      <c r="J23" s="233">
        <v>5.7</v>
      </c>
    </row>
    <row r="24" spans="1:10" s="289" customFormat="1" ht="15.75">
      <c r="A24" s="239" t="s">
        <v>543</v>
      </c>
      <c r="B24" s="241" t="s">
        <v>620</v>
      </c>
      <c r="C24" s="287"/>
      <c r="D24" s="241"/>
      <c r="E24" s="241"/>
      <c r="F24" s="233">
        <f t="shared" si="2"/>
        <v>3.1999999999999997</v>
      </c>
      <c r="G24" s="233">
        <v>0.8</v>
      </c>
      <c r="H24" s="233">
        <v>0.6</v>
      </c>
      <c r="I24" s="233">
        <v>1.2</v>
      </c>
      <c r="J24" s="233">
        <v>0.6</v>
      </c>
    </row>
    <row r="25" spans="1:10" ht="15.75">
      <c r="A25" s="239" t="s">
        <v>667</v>
      </c>
      <c r="B25" s="241" t="s">
        <v>621</v>
      </c>
      <c r="C25" s="241"/>
      <c r="D25" s="241"/>
      <c r="E25" s="241"/>
      <c r="F25" s="233">
        <f t="shared" si="2"/>
        <v>105.9</v>
      </c>
      <c r="G25" s="198">
        <v>20.8</v>
      </c>
      <c r="H25" s="198">
        <v>18.2</v>
      </c>
      <c r="I25" s="198">
        <v>23</v>
      </c>
      <c r="J25" s="198">
        <f>43.9</f>
        <v>43.9</v>
      </c>
    </row>
    <row r="26" spans="1:10" ht="15.75">
      <c r="A26" s="561" t="s">
        <v>126</v>
      </c>
      <c r="B26" s="561"/>
      <c r="C26" s="241"/>
      <c r="D26" s="241"/>
      <c r="E26" s="241"/>
      <c r="F26" s="233"/>
      <c r="G26" s="198"/>
      <c r="H26" s="198"/>
      <c r="I26" s="198"/>
      <c r="J26" s="198"/>
    </row>
    <row r="27" spans="1:10" ht="15.75">
      <c r="A27" s="239"/>
      <c r="B27" s="241" t="s">
        <v>740</v>
      </c>
      <c r="C27" s="241">
        <v>3240</v>
      </c>
      <c r="D27" s="241"/>
      <c r="E27" s="241"/>
      <c r="F27" s="233">
        <f>F28</f>
        <v>5334.5999999999995</v>
      </c>
      <c r="G27" s="233">
        <f t="shared" ref="G27:J27" si="3">G28</f>
        <v>985.4</v>
      </c>
      <c r="H27" s="233">
        <f t="shared" si="3"/>
        <v>1091.7</v>
      </c>
      <c r="I27" s="233">
        <f t="shared" si="3"/>
        <v>604.79999999999995</v>
      </c>
      <c r="J27" s="233">
        <f t="shared" si="3"/>
        <v>2652.7</v>
      </c>
    </row>
    <row r="28" spans="1:10" ht="15.75">
      <c r="A28" s="239"/>
      <c r="B28" s="377" t="s">
        <v>681</v>
      </c>
      <c r="C28" s="241"/>
      <c r="D28" s="241"/>
      <c r="E28" s="241"/>
      <c r="F28" s="233">
        <f>G28+H28+I28+J28</f>
        <v>5334.5999999999995</v>
      </c>
      <c r="G28" s="198">
        <v>985.4</v>
      </c>
      <c r="H28" s="198">
        <v>1091.7</v>
      </c>
      <c r="I28" s="198">
        <v>604.79999999999995</v>
      </c>
      <c r="J28" s="198">
        <v>2652.7</v>
      </c>
    </row>
    <row r="29" spans="1:10" ht="15.75">
      <c r="A29" s="293"/>
      <c r="B29" s="251" t="s">
        <v>627</v>
      </c>
      <c r="C29" s="287">
        <v>3255</v>
      </c>
      <c r="D29" s="290"/>
      <c r="E29" s="290"/>
      <c r="F29" s="291">
        <f t="shared" ref="F29:F33" si="4">G29+H29+I29+J29</f>
        <v>5732.7000000000007</v>
      </c>
      <c r="G29" s="292">
        <f>G30+G35</f>
        <v>1025.2</v>
      </c>
      <c r="H29" s="292">
        <f>H30+H35</f>
        <v>1100.3</v>
      </c>
      <c r="I29" s="292">
        <f>I30+I35</f>
        <v>922.80000000000007</v>
      </c>
      <c r="J29" s="292">
        <f>J30+J35</f>
        <v>2684.4</v>
      </c>
    </row>
    <row r="30" spans="1:10" ht="15.75">
      <c r="A30" s="293" t="s">
        <v>529</v>
      </c>
      <c r="B30" s="251" t="s">
        <v>624</v>
      </c>
      <c r="C30" s="287">
        <v>3260</v>
      </c>
      <c r="D30" s="290"/>
      <c r="E30" s="290"/>
      <c r="F30" s="291">
        <f t="shared" si="4"/>
        <v>1348.3999999999999</v>
      </c>
      <c r="G30" s="294">
        <f>G31+G32+G33+G34</f>
        <v>39.799999999999997</v>
      </c>
      <c r="H30" s="294">
        <f>H31+H32+H33+H34</f>
        <v>943.2</v>
      </c>
      <c r="I30" s="294">
        <f>I31+I32+I33+I34</f>
        <v>338.6</v>
      </c>
      <c r="J30" s="294">
        <f>J31+J32+J33+J34</f>
        <v>26.8</v>
      </c>
    </row>
    <row r="31" spans="1:10" ht="15.75">
      <c r="A31" s="293" t="s">
        <v>669</v>
      </c>
      <c r="B31" s="377" t="s">
        <v>655</v>
      </c>
      <c r="C31" s="287"/>
      <c r="D31" s="290"/>
      <c r="E31" s="290"/>
      <c r="F31" s="233">
        <f t="shared" si="4"/>
        <v>3.5</v>
      </c>
      <c r="G31" s="379"/>
      <c r="H31" s="379">
        <v>1</v>
      </c>
      <c r="I31" s="379">
        <v>2.5</v>
      </c>
      <c r="J31" s="379"/>
    </row>
    <row r="32" spans="1:10" ht="15.75">
      <c r="A32" s="293" t="s">
        <v>539</v>
      </c>
      <c r="B32" s="377" t="s">
        <v>681</v>
      </c>
      <c r="C32" s="287"/>
      <c r="D32" s="290"/>
      <c r="E32" s="290"/>
      <c r="F32" s="380">
        <f t="shared" si="4"/>
        <v>1281.8000000000002</v>
      </c>
      <c r="G32" s="379"/>
      <c r="H32" s="379">
        <v>935.2</v>
      </c>
      <c r="I32" s="379">
        <v>336.1</v>
      </c>
      <c r="J32" s="379">
        <f>9.2+1.3</f>
        <v>10.5</v>
      </c>
    </row>
    <row r="33" spans="1:10" ht="15.75">
      <c r="A33" s="293" t="s">
        <v>670</v>
      </c>
      <c r="B33" s="378" t="s">
        <v>625</v>
      </c>
      <c r="C33" s="290"/>
      <c r="D33" s="290"/>
      <c r="E33" s="290"/>
      <c r="F33" s="380">
        <f t="shared" si="4"/>
        <v>39.799999999999997</v>
      </c>
      <c r="G33" s="379">
        <v>39.799999999999997</v>
      </c>
      <c r="H33" s="379"/>
      <c r="I33" s="379"/>
      <c r="J33" s="379"/>
    </row>
    <row r="34" spans="1:10" ht="31.5">
      <c r="A34" s="293" t="s">
        <v>671</v>
      </c>
      <c r="B34" s="377" t="s">
        <v>619</v>
      </c>
      <c r="C34" s="290"/>
      <c r="D34" s="290"/>
      <c r="E34" s="290"/>
      <c r="F34" s="380">
        <f t="shared" si="2"/>
        <v>23.3</v>
      </c>
      <c r="G34" s="379"/>
      <c r="H34" s="379">
        <v>7</v>
      </c>
      <c r="I34" s="379"/>
      <c r="J34" s="379">
        <v>16.3</v>
      </c>
    </row>
    <row r="35" spans="1:10" ht="15.75">
      <c r="A35" s="293" t="s">
        <v>492</v>
      </c>
      <c r="B35" s="295" t="s">
        <v>628</v>
      </c>
      <c r="C35" s="287">
        <v>3280</v>
      </c>
      <c r="D35" s="290"/>
      <c r="E35" s="290"/>
      <c r="F35" s="288">
        <f>G35+H35+I35+J35</f>
        <v>4384.3</v>
      </c>
      <c r="G35" s="294">
        <f>G36+G39</f>
        <v>985.4</v>
      </c>
      <c r="H35" s="294">
        <f>H36+H39</f>
        <v>157.1</v>
      </c>
      <c r="I35" s="294">
        <f>I36+I39</f>
        <v>584.20000000000005</v>
      </c>
      <c r="J35" s="294">
        <f>J36+J39</f>
        <v>2657.6</v>
      </c>
    </row>
    <row r="36" spans="1:10" ht="15.75">
      <c r="A36" s="293" t="s">
        <v>672</v>
      </c>
      <c r="B36" s="250" t="s">
        <v>681</v>
      </c>
      <c r="C36" s="290"/>
      <c r="D36" s="290"/>
      <c r="E36" s="290"/>
      <c r="F36" s="288">
        <f>G36+H36+I36+J36</f>
        <v>4378.8</v>
      </c>
      <c r="G36" s="294">
        <f>G37+G38</f>
        <v>985.4</v>
      </c>
      <c r="H36" s="294">
        <f>H37+H38</f>
        <v>156.5</v>
      </c>
      <c r="I36" s="294">
        <f>I37+I38</f>
        <v>584.20000000000005</v>
      </c>
      <c r="J36" s="294">
        <f>J37+J38</f>
        <v>2652.7</v>
      </c>
    </row>
    <row r="37" spans="1:10" ht="15.75">
      <c r="A37" s="293"/>
      <c r="B37" s="241" t="s">
        <v>629</v>
      </c>
      <c r="C37" s="290"/>
      <c r="D37" s="290"/>
      <c r="E37" s="290"/>
      <c r="F37" s="233">
        <f t="shared" si="2"/>
        <v>3036.5</v>
      </c>
      <c r="G37" s="293">
        <v>944</v>
      </c>
      <c r="H37" s="293">
        <v>156.5</v>
      </c>
      <c r="I37" s="293">
        <v>584.20000000000005</v>
      </c>
      <c r="J37" s="293">
        <v>1351.8</v>
      </c>
    </row>
    <row r="38" spans="1:10" ht="15.75">
      <c r="A38" s="293"/>
      <c r="B38" s="241" t="s">
        <v>677</v>
      </c>
      <c r="C38" s="290"/>
      <c r="D38" s="290"/>
      <c r="E38" s="290"/>
      <c r="F38" s="233">
        <f t="shared" si="2"/>
        <v>1342.3000000000002</v>
      </c>
      <c r="G38" s="293">
        <v>41.4</v>
      </c>
      <c r="H38" s="293"/>
      <c r="I38" s="293"/>
      <c r="J38" s="293">
        <v>1300.9000000000001</v>
      </c>
    </row>
    <row r="39" spans="1:10" ht="31.5">
      <c r="A39" s="293" t="s">
        <v>540</v>
      </c>
      <c r="B39" s="250" t="s">
        <v>619</v>
      </c>
      <c r="C39" s="290"/>
      <c r="D39" s="290"/>
      <c r="E39" s="290"/>
      <c r="F39" s="291">
        <f t="shared" si="2"/>
        <v>5.5</v>
      </c>
      <c r="G39" s="252">
        <f>G40+G41</f>
        <v>0</v>
      </c>
      <c r="H39" s="252">
        <f>H40+H41</f>
        <v>0.6</v>
      </c>
      <c r="I39" s="252">
        <f>I40+I41</f>
        <v>0</v>
      </c>
      <c r="J39" s="252">
        <f>J40+J41</f>
        <v>4.9000000000000004</v>
      </c>
    </row>
    <row r="40" spans="1:10" ht="15.75">
      <c r="A40" s="293"/>
      <c r="B40" s="241" t="s">
        <v>623</v>
      </c>
      <c r="C40" s="290"/>
      <c r="D40" s="290"/>
      <c r="E40" s="290"/>
      <c r="F40" s="233">
        <f t="shared" si="2"/>
        <v>0.6</v>
      </c>
      <c r="G40" s="293"/>
      <c r="H40" s="293">
        <v>0.6</v>
      </c>
      <c r="I40" s="293"/>
      <c r="J40" s="293"/>
    </row>
    <row r="41" spans="1:10" ht="15.75">
      <c r="A41" s="293"/>
      <c r="B41" s="241" t="s">
        <v>626</v>
      </c>
      <c r="C41" s="290"/>
      <c r="D41" s="290"/>
      <c r="E41" s="290"/>
      <c r="F41" s="233">
        <f t="shared" si="2"/>
        <v>4.9000000000000004</v>
      </c>
      <c r="G41" s="293"/>
      <c r="H41" s="293"/>
      <c r="I41" s="293"/>
      <c r="J41" s="293">
        <v>4.9000000000000004</v>
      </c>
    </row>
    <row r="42" spans="1:10" ht="15.75">
      <c r="A42" s="296"/>
      <c r="B42" s="297"/>
      <c r="C42" s="296"/>
      <c r="D42" s="296"/>
      <c r="E42" s="296"/>
      <c r="F42" s="298"/>
      <c r="G42" s="296"/>
      <c r="H42" s="296"/>
      <c r="I42" s="296"/>
      <c r="J42" s="296"/>
    </row>
    <row r="43" spans="1:10" ht="15.75">
      <c r="A43" s="296"/>
      <c r="B43" s="297"/>
      <c r="C43" s="296"/>
      <c r="D43" s="296"/>
      <c r="E43" s="296"/>
      <c r="F43" s="298"/>
      <c r="G43" s="296"/>
      <c r="H43" s="296"/>
      <c r="I43" s="296"/>
      <c r="J43" s="296"/>
    </row>
    <row r="44" spans="1:10" ht="15.75">
      <c r="A44" s="296"/>
      <c r="B44" s="297"/>
      <c r="C44" s="296"/>
      <c r="D44" s="296"/>
      <c r="E44" s="296"/>
      <c r="F44" s="298"/>
      <c r="G44" s="296"/>
      <c r="H44" s="296"/>
      <c r="I44" s="296"/>
      <c r="J44" s="296"/>
    </row>
    <row r="45" spans="1:10" ht="15.75">
      <c r="A45" s="296"/>
      <c r="B45" s="297"/>
      <c r="C45" s="296"/>
      <c r="D45" s="296"/>
      <c r="E45" s="296"/>
      <c r="F45" s="298"/>
      <c r="G45" s="296"/>
      <c r="H45" s="296"/>
      <c r="I45" s="296"/>
      <c r="J45" s="296"/>
    </row>
    <row r="46" spans="1:10" ht="15.75">
      <c r="A46" s="296"/>
      <c r="B46" s="297"/>
      <c r="C46" s="296"/>
      <c r="D46" s="296"/>
      <c r="E46" s="296"/>
      <c r="F46" s="298"/>
      <c r="G46" s="296"/>
      <c r="H46" s="296"/>
      <c r="I46" s="296"/>
      <c r="J46" s="296"/>
    </row>
    <row r="49" spans="2:10">
      <c r="B49" s="75" t="s">
        <v>408</v>
      </c>
    </row>
    <row r="51" spans="2:10" ht="18.75">
      <c r="B51" s="449" t="s">
        <v>745</v>
      </c>
      <c r="C51" s="181"/>
      <c r="D51" s="181"/>
      <c r="E51" s="181"/>
      <c r="F51" s="181"/>
      <c r="G51" s="181"/>
      <c r="H51" s="181"/>
      <c r="I51" s="534"/>
      <c r="J51" s="534"/>
    </row>
  </sheetData>
  <mergeCells count="12">
    <mergeCell ref="K11:L15"/>
    <mergeCell ref="A6:B6"/>
    <mergeCell ref="I51:J51"/>
    <mergeCell ref="B2:J2"/>
    <mergeCell ref="A4:A5"/>
    <mergeCell ref="B4:B5"/>
    <mergeCell ref="C4:C5"/>
    <mergeCell ref="F4:F5"/>
    <mergeCell ref="G4:J4"/>
    <mergeCell ref="D4:D5"/>
    <mergeCell ref="E4:E5"/>
    <mergeCell ref="A26:B2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184"/>
  <sheetViews>
    <sheetView view="pageBreakPreview" zoomScale="70" zoomScaleNormal="75" zoomScaleSheetLayoutView="70" workbookViewId="0">
      <selection activeCell="K12" sqref="K12:Q15"/>
    </sheetView>
  </sheetViews>
  <sheetFormatPr defaultColWidth="9.140625" defaultRowHeight="18.75"/>
  <cols>
    <col min="1" max="1" width="80.140625" style="429" customWidth="1"/>
    <col min="2" max="2" width="9.85546875" style="457" customWidth="1"/>
    <col min="3" max="3" width="15.7109375" style="457" customWidth="1"/>
    <col min="4" max="4" width="16" style="457" customWidth="1"/>
    <col min="5" max="5" width="19.42578125" style="457" customWidth="1"/>
    <col min="6" max="6" width="17.42578125" style="429" customWidth="1"/>
    <col min="7" max="7" width="14.42578125" style="429" customWidth="1"/>
    <col min="8" max="8" width="12.140625" style="429" customWidth="1"/>
    <col min="9" max="9" width="16.5703125" style="429" customWidth="1"/>
    <col min="10" max="10" width="16.7109375" style="429" customWidth="1"/>
    <col min="11" max="11" width="9.5703125" style="429" customWidth="1"/>
    <col min="12" max="12" width="9.85546875" style="429" customWidth="1"/>
    <col min="13" max="16384" width="9.140625" style="429"/>
  </cols>
  <sheetData>
    <row r="1" spans="1:17">
      <c r="J1" s="431" t="s">
        <v>404</v>
      </c>
    </row>
    <row r="2" spans="1:17">
      <c r="A2" s="754" t="s">
        <v>158</v>
      </c>
      <c r="B2" s="754"/>
      <c r="C2" s="754"/>
      <c r="D2" s="754"/>
      <c r="E2" s="754"/>
      <c r="F2" s="754"/>
      <c r="G2" s="754"/>
      <c r="H2" s="754"/>
      <c r="I2" s="754"/>
      <c r="J2" s="754"/>
    </row>
    <row r="3" spans="1:17">
      <c r="A3" s="755" t="s">
        <v>375</v>
      </c>
      <c r="B3" s="755"/>
      <c r="C3" s="755"/>
      <c r="D3" s="755"/>
      <c r="E3" s="755"/>
      <c r="F3" s="755"/>
      <c r="G3" s="755"/>
      <c r="H3" s="755"/>
      <c r="I3" s="755"/>
      <c r="J3" s="755"/>
    </row>
    <row r="4" spans="1:17" ht="43.5" customHeight="1">
      <c r="A4" s="507" t="s">
        <v>179</v>
      </c>
      <c r="B4" s="508" t="s">
        <v>17</v>
      </c>
      <c r="C4" s="508" t="s">
        <v>509</v>
      </c>
      <c r="D4" s="508" t="s">
        <v>510</v>
      </c>
      <c r="E4" s="509" t="s">
        <v>511</v>
      </c>
      <c r="F4" s="508" t="s">
        <v>512</v>
      </c>
      <c r="G4" s="508" t="s">
        <v>376</v>
      </c>
      <c r="H4" s="508"/>
      <c r="I4" s="508"/>
      <c r="J4" s="508"/>
    </row>
    <row r="5" spans="1:17" ht="66.75" customHeight="1">
      <c r="A5" s="507"/>
      <c r="B5" s="508"/>
      <c r="C5" s="508"/>
      <c r="D5" s="508"/>
      <c r="E5" s="509"/>
      <c r="F5" s="508"/>
      <c r="G5" s="463" t="s">
        <v>141</v>
      </c>
      <c r="H5" s="463" t="s">
        <v>142</v>
      </c>
      <c r="I5" s="463" t="s">
        <v>143</v>
      </c>
      <c r="J5" s="463" t="s">
        <v>68</v>
      </c>
    </row>
    <row r="6" spans="1:17">
      <c r="A6" s="461">
        <v>1</v>
      </c>
      <c r="B6" s="462">
        <v>2</v>
      </c>
      <c r="C6" s="462">
        <v>3</v>
      </c>
      <c r="D6" s="462">
        <v>4</v>
      </c>
      <c r="E6" s="462">
        <v>5</v>
      </c>
      <c r="F6" s="462">
        <v>6</v>
      </c>
      <c r="G6" s="462">
        <v>7</v>
      </c>
      <c r="H6" s="462">
        <v>8</v>
      </c>
      <c r="I6" s="462">
        <v>9</v>
      </c>
      <c r="J6" s="462">
        <v>10</v>
      </c>
    </row>
    <row r="7" spans="1:17" s="423" customFormat="1" ht="49.5" customHeight="1">
      <c r="A7" s="460" t="s">
        <v>77</v>
      </c>
      <c r="B7" s="756">
        <v>4000</v>
      </c>
      <c r="C7" s="202">
        <f>SUM(C8:C13)</f>
        <v>0</v>
      </c>
      <c r="D7" s="202">
        <f>SUM(D8:D13)</f>
        <v>0</v>
      </c>
      <c r="E7" s="202">
        <f>SUM(E8:E13)</f>
        <v>0</v>
      </c>
      <c r="F7" s="202">
        <f>SUM(G7:J7)</f>
        <v>5732.7000000000007</v>
      </c>
      <c r="G7" s="202">
        <f>SUM(G8:G13)</f>
        <v>1025.2</v>
      </c>
      <c r="H7" s="202">
        <f>SUM(H8:H13)</f>
        <v>1100.3</v>
      </c>
      <c r="I7" s="202">
        <f>SUM(I8:I13)</f>
        <v>922.80000000000007</v>
      </c>
      <c r="J7" s="202">
        <f>SUM(J8:J13)</f>
        <v>2684.4</v>
      </c>
    </row>
    <row r="8" spans="1:17" ht="20.100000000000001" customHeight="1">
      <c r="A8" s="201" t="s">
        <v>1</v>
      </c>
      <c r="B8" s="757" t="s">
        <v>162</v>
      </c>
      <c r="C8" s="199"/>
      <c r="D8" s="199"/>
      <c r="E8" s="199"/>
      <c r="F8" s="199">
        <f t="shared" ref="F8:F13" si="0">SUM(G8:J8)</f>
        <v>0</v>
      </c>
      <c r="G8" s="199"/>
      <c r="H8" s="199"/>
      <c r="I8" s="199"/>
      <c r="J8" s="199"/>
    </row>
    <row r="9" spans="1:17" ht="20.100000000000001" customHeight="1">
      <c r="A9" s="201" t="s">
        <v>2</v>
      </c>
      <c r="B9" s="756">
        <v>4020</v>
      </c>
      <c r="C9" s="199"/>
      <c r="D9" s="199"/>
      <c r="E9" s="199"/>
      <c r="F9" s="199">
        <f t="shared" si="0"/>
        <v>973.50000000000011</v>
      </c>
      <c r="G9" s="199">
        <v>11.2</v>
      </c>
      <c r="H9" s="199">
        <v>935.2</v>
      </c>
      <c r="I9" s="199">
        <v>20.6</v>
      </c>
      <c r="J9" s="199">
        <f>6.5</f>
        <v>6.5</v>
      </c>
      <c r="Q9" s="758"/>
    </row>
    <row r="10" spans="1:17" ht="20.100000000000001" customHeight="1">
      <c r="A10" s="201" t="s">
        <v>29</v>
      </c>
      <c r="B10" s="757">
        <v>4030</v>
      </c>
      <c r="C10" s="199"/>
      <c r="D10" s="199"/>
      <c r="E10" s="199"/>
      <c r="F10" s="199">
        <f t="shared" si="0"/>
        <v>374.90000000000003</v>
      </c>
      <c r="G10" s="199">
        <v>28.6</v>
      </c>
      <c r="H10" s="199">
        <f>1+7</f>
        <v>8</v>
      </c>
      <c r="I10" s="199">
        <v>318</v>
      </c>
      <c r="J10" s="199">
        <f>10.5+9.8</f>
        <v>20.3</v>
      </c>
      <c r="P10" s="758"/>
    </row>
    <row r="11" spans="1:17" ht="20.100000000000001" customHeight="1">
      <c r="A11" s="201" t="s">
        <v>3</v>
      </c>
      <c r="B11" s="756">
        <v>4040</v>
      </c>
      <c r="C11" s="199"/>
      <c r="D11" s="199"/>
      <c r="E11" s="199"/>
      <c r="F11" s="199">
        <f t="shared" si="0"/>
        <v>0</v>
      </c>
      <c r="G11" s="199"/>
      <c r="H11" s="199"/>
      <c r="I11" s="199"/>
      <c r="J11" s="199"/>
    </row>
    <row r="12" spans="1:17" ht="37.5">
      <c r="A12" s="201" t="s">
        <v>63</v>
      </c>
      <c r="B12" s="757">
        <v>4050</v>
      </c>
      <c r="C12" s="199"/>
      <c r="D12" s="199"/>
      <c r="E12" s="199"/>
      <c r="F12" s="199">
        <f t="shared" si="0"/>
        <v>3037.1</v>
      </c>
      <c r="G12" s="199">
        <v>944</v>
      </c>
      <c r="H12" s="199">
        <f>156.5+0.6</f>
        <v>157.1</v>
      </c>
      <c r="I12" s="199">
        <v>584.20000000000005</v>
      </c>
      <c r="J12" s="199">
        <v>1351.8</v>
      </c>
      <c r="K12" s="510"/>
      <c r="L12" s="510"/>
      <c r="M12" s="510"/>
      <c r="N12" s="510"/>
      <c r="O12" s="510"/>
      <c r="P12" s="510"/>
      <c r="Q12" s="510"/>
    </row>
    <row r="13" spans="1:17">
      <c r="A13" s="201" t="s">
        <v>296</v>
      </c>
      <c r="B13" s="759">
        <v>4060</v>
      </c>
      <c r="C13" s="199"/>
      <c r="D13" s="199"/>
      <c r="E13" s="199"/>
      <c r="F13" s="199">
        <f t="shared" si="0"/>
        <v>1347.2000000000003</v>
      </c>
      <c r="G13" s="199">
        <v>41.4</v>
      </c>
      <c r="H13" s="199"/>
      <c r="I13" s="199"/>
      <c r="J13" s="199">
        <f>4.9+1300.9</f>
        <v>1305.8000000000002</v>
      </c>
      <c r="K13" s="510"/>
      <c r="L13" s="510"/>
      <c r="M13" s="510"/>
      <c r="N13" s="510"/>
      <c r="O13" s="510"/>
      <c r="P13" s="510"/>
      <c r="Q13" s="510"/>
    </row>
    <row r="14" spans="1:17" ht="20.100000000000001" customHeight="1">
      <c r="B14" s="429"/>
      <c r="C14" s="429"/>
      <c r="D14" s="429"/>
      <c r="E14" s="429"/>
      <c r="F14" s="760"/>
      <c r="G14" s="760"/>
      <c r="H14" s="760"/>
      <c r="I14" s="760"/>
      <c r="J14" s="760"/>
      <c r="K14" s="510"/>
      <c r="L14" s="510"/>
      <c r="M14" s="510"/>
      <c r="N14" s="510"/>
      <c r="O14" s="510"/>
      <c r="P14" s="510"/>
      <c r="Q14" s="510"/>
    </row>
    <row r="15" spans="1:17" ht="20.100000000000001" customHeight="1">
      <c r="B15" s="429"/>
      <c r="C15" s="429"/>
      <c r="D15" s="429"/>
      <c r="E15" s="429"/>
      <c r="F15" s="760"/>
      <c r="G15" s="760"/>
      <c r="H15" s="760"/>
      <c r="I15" s="760"/>
      <c r="J15" s="760"/>
    </row>
    <row r="16" spans="1:17" s="441" customFormat="1" ht="20.100000000000001" customHeight="1">
      <c r="A16" s="458"/>
      <c r="C16" s="429"/>
      <c r="D16" s="429"/>
      <c r="E16" s="429"/>
      <c r="F16" s="429"/>
      <c r="G16" s="429"/>
      <c r="H16" s="761"/>
      <c r="I16" s="429"/>
      <c r="J16" s="429"/>
      <c r="K16" s="429"/>
    </row>
    <row r="17" spans="1:10" ht="46.5" customHeight="1">
      <c r="A17" s="449" t="s">
        <v>745</v>
      </c>
      <c r="B17" s="450"/>
      <c r="C17" s="519" t="s">
        <v>171</v>
      </c>
      <c r="D17" s="519"/>
      <c r="E17" s="519"/>
      <c r="F17" s="519"/>
      <c r="G17" s="451"/>
      <c r="H17" s="520" t="s">
        <v>617</v>
      </c>
      <c r="I17" s="520"/>
      <c r="J17" s="520"/>
    </row>
    <row r="18" spans="1:10" s="441" customFormat="1" ht="20.100000000000001" customHeight="1">
      <c r="A18" s="457" t="s">
        <v>73</v>
      </c>
      <c r="B18" s="429"/>
      <c r="C18" s="510" t="s">
        <v>74</v>
      </c>
      <c r="D18" s="510"/>
      <c r="E18" s="510"/>
      <c r="F18" s="510"/>
      <c r="G18" s="452"/>
      <c r="H18" s="511" t="s">
        <v>92</v>
      </c>
      <c r="I18" s="511"/>
      <c r="J18" s="511"/>
    </row>
    <row r="19" spans="1:10">
      <c r="A19" s="453"/>
    </row>
    <row r="20" spans="1:10">
      <c r="A20" s="453"/>
    </row>
    <row r="21" spans="1:10">
      <c r="A21" s="453"/>
    </row>
    <row r="22" spans="1:10">
      <c r="A22" s="453"/>
    </row>
    <row r="23" spans="1:10">
      <c r="A23" s="453"/>
    </row>
    <row r="24" spans="1:10">
      <c r="A24" s="453"/>
    </row>
    <row r="25" spans="1:10">
      <c r="A25" s="453"/>
    </row>
    <row r="26" spans="1:10">
      <c r="A26" s="453"/>
    </row>
    <row r="27" spans="1:10">
      <c r="A27" s="453"/>
    </row>
    <row r="28" spans="1:10">
      <c r="A28" s="453"/>
    </row>
    <row r="29" spans="1:10">
      <c r="A29" s="453"/>
    </row>
    <row r="30" spans="1:10">
      <c r="A30" s="453"/>
    </row>
    <row r="31" spans="1:10">
      <c r="A31" s="453"/>
    </row>
    <row r="32" spans="1:10">
      <c r="A32" s="453"/>
    </row>
    <row r="33" spans="1:1">
      <c r="A33" s="453"/>
    </row>
    <row r="34" spans="1:1">
      <c r="A34" s="453"/>
    </row>
    <row r="35" spans="1:1">
      <c r="A35" s="453"/>
    </row>
    <row r="36" spans="1:1">
      <c r="A36" s="453"/>
    </row>
    <row r="37" spans="1:1">
      <c r="A37" s="453"/>
    </row>
    <row r="38" spans="1:1">
      <c r="A38" s="453"/>
    </row>
    <row r="39" spans="1:1">
      <c r="A39" s="453"/>
    </row>
    <row r="40" spans="1:1">
      <c r="A40" s="453"/>
    </row>
    <row r="41" spans="1:1">
      <c r="A41" s="453"/>
    </row>
    <row r="42" spans="1:1">
      <c r="A42" s="453"/>
    </row>
    <row r="43" spans="1:1">
      <c r="A43" s="453"/>
    </row>
    <row r="44" spans="1:1">
      <c r="A44" s="453"/>
    </row>
    <row r="45" spans="1:1">
      <c r="A45" s="453"/>
    </row>
    <row r="46" spans="1:1">
      <c r="A46" s="453"/>
    </row>
    <row r="47" spans="1:1">
      <c r="A47" s="453"/>
    </row>
    <row r="48" spans="1:1">
      <c r="A48" s="453"/>
    </row>
    <row r="49" spans="1:1">
      <c r="A49" s="453"/>
    </row>
    <row r="50" spans="1:1">
      <c r="A50" s="453"/>
    </row>
    <row r="51" spans="1:1">
      <c r="A51" s="453"/>
    </row>
    <row r="52" spans="1:1">
      <c r="A52" s="453"/>
    </row>
    <row r="53" spans="1:1">
      <c r="A53" s="453"/>
    </row>
    <row r="54" spans="1:1">
      <c r="A54" s="453"/>
    </row>
    <row r="55" spans="1:1">
      <c r="A55" s="453"/>
    </row>
    <row r="56" spans="1:1">
      <c r="A56" s="453"/>
    </row>
    <row r="57" spans="1:1">
      <c r="A57" s="453"/>
    </row>
    <row r="58" spans="1:1">
      <c r="A58" s="453"/>
    </row>
    <row r="59" spans="1:1">
      <c r="A59" s="453"/>
    </row>
    <row r="60" spans="1:1">
      <c r="A60" s="453"/>
    </row>
    <row r="61" spans="1:1">
      <c r="A61" s="453"/>
    </row>
    <row r="62" spans="1:1">
      <c r="A62" s="453"/>
    </row>
    <row r="63" spans="1:1">
      <c r="A63" s="453"/>
    </row>
    <row r="64" spans="1:1">
      <c r="A64" s="453"/>
    </row>
    <row r="65" spans="1:1">
      <c r="A65" s="453"/>
    </row>
    <row r="66" spans="1:1">
      <c r="A66" s="453"/>
    </row>
    <row r="67" spans="1:1">
      <c r="A67" s="453"/>
    </row>
    <row r="68" spans="1:1">
      <c r="A68" s="453"/>
    </row>
    <row r="69" spans="1:1">
      <c r="A69" s="453"/>
    </row>
    <row r="70" spans="1:1">
      <c r="A70" s="453"/>
    </row>
    <row r="71" spans="1:1">
      <c r="A71" s="453"/>
    </row>
    <row r="72" spans="1:1">
      <c r="A72" s="453"/>
    </row>
    <row r="73" spans="1:1">
      <c r="A73" s="453"/>
    </row>
    <row r="74" spans="1:1">
      <c r="A74" s="453"/>
    </row>
    <row r="75" spans="1:1">
      <c r="A75" s="453"/>
    </row>
    <row r="76" spans="1:1">
      <c r="A76" s="453"/>
    </row>
    <row r="77" spans="1:1">
      <c r="A77" s="453"/>
    </row>
    <row r="78" spans="1:1">
      <c r="A78" s="453"/>
    </row>
    <row r="79" spans="1:1">
      <c r="A79" s="453"/>
    </row>
    <row r="80" spans="1:1">
      <c r="A80" s="453"/>
    </row>
    <row r="81" spans="1:1">
      <c r="A81" s="453"/>
    </row>
    <row r="82" spans="1:1">
      <c r="A82" s="453"/>
    </row>
    <row r="83" spans="1:1">
      <c r="A83" s="453"/>
    </row>
    <row r="84" spans="1:1">
      <c r="A84" s="453"/>
    </row>
    <row r="85" spans="1:1">
      <c r="A85" s="453"/>
    </row>
    <row r="86" spans="1:1">
      <c r="A86" s="453"/>
    </row>
    <row r="87" spans="1:1">
      <c r="A87" s="453"/>
    </row>
    <row r="88" spans="1:1">
      <c r="A88" s="453"/>
    </row>
    <row r="89" spans="1:1">
      <c r="A89" s="453"/>
    </row>
    <row r="90" spans="1:1">
      <c r="A90" s="453"/>
    </row>
    <row r="91" spans="1:1">
      <c r="A91" s="453"/>
    </row>
    <row r="92" spans="1:1">
      <c r="A92" s="453"/>
    </row>
    <row r="93" spans="1:1">
      <c r="A93" s="453"/>
    </row>
    <row r="94" spans="1:1">
      <c r="A94" s="453"/>
    </row>
    <row r="95" spans="1:1">
      <c r="A95" s="453"/>
    </row>
    <row r="96" spans="1:1">
      <c r="A96" s="453"/>
    </row>
    <row r="97" spans="1:1">
      <c r="A97" s="453"/>
    </row>
    <row r="98" spans="1:1">
      <c r="A98" s="453"/>
    </row>
    <row r="99" spans="1:1">
      <c r="A99" s="453"/>
    </row>
    <row r="100" spans="1:1">
      <c r="A100" s="453"/>
    </row>
    <row r="101" spans="1:1">
      <c r="A101" s="453"/>
    </row>
    <row r="102" spans="1:1">
      <c r="A102" s="453"/>
    </row>
    <row r="103" spans="1:1">
      <c r="A103" s="453"/>
    </row>
    <row r="104" spans="1:1">
      <c r="A104" s="453"/>
    </row>
    <row r="105" spans="1:1">
      <c r="A105" s="453"/>
    </row>
    <row r="106" spans="1:1">
      <c r="A106" s="453"/>
    </row>
    <row r="107" spans="1:1">
      <c r="A107" s="453"/>
    </row>
    <row r="108" spans="1:1">
      <c r="A108" s="453"/>
    </row>
    <row r="109" spans="1:1">
      <c r="A109" s="453"/>
    </row>
    <row r="110" spans="1:1">
      <c r="A110" s="453"/>
    </row>
    <row r="111" spans="1:1">
      <c r="A111" s="453"/>
    </row>
    <row r="112" spans="1:1">
      <c r="A112" s="453"/>
    </row>
    <row r="113" spans="1:1">
      <c r="A113" s="453"/>
    </row>
    <row r="114" spans="1:1">
      <c r="A114" s="453"/>
    </row>
    <row r="115" spans="1:1">
      <c r="A115" s="453"/>
    </row>
    <row r="116" spans="1:1">
      <c r="A116" s="453"/>
    </row>
    <row r="117" spans="1:1">
      <c r="A117" s="453"/>
    </row>
    <row r="118" spans="1:1">
      <c r="A118" s="453"/>
    </row>
    <row r="119" spans="1:1">
      <c r="A119" s="453"/>
    </row>
    <row r="120" spans="1:1">
      <c r="A120" s="453"/>
    </row>
    <row r="121" spans="1:1">
      <c r="A121" s="453"/>
    </row>
    <row r="122" spans="1:1">
      <c r="A122" s="453"/>
    </row>
    <row r="123" spans="1:1">
      <c r="A123" s="453"/>
    </row>
    <row r="124" spans="1:1">
      <c r="A124" s="453"/>
    </row>
    <row r="125" spans="1:1">
      <c r="A125" s="453"/>
    </row>
    <row r="126" spans="1:1">
      <c r="A126" s="453"/>
    </row>
    <row r="127" spans="1:1">
      <c r="A127" s="453"/>
    </row>
    <row r="128" spans="1:1">
      <c r="A128" s="453"/>
    </row>
    <row r="129" spans="1:1">
      <c r="A129" s="453"/>
    </row>
    <row r="130" spans="1:1">
      <c r="A130" s="453"/>
    </row>
    <row r="131" spans="1:1">
      <c r="A131" s="453"/>
    </row>
    <row r="132" spans="1:1">
      <c r="A132" s="453"/>
    </row>
    <row r="133" spans="1:1">
      <c r="A133" s="453"/>
    </row>
    <row r="134" spans="1:1">
      <c r="A134" s="453"/>
    </row>
    <row r="135" spans="1:1">
      <c r="A135" s="453"/>
    </row>
    <row r="136" spans="1:1">
      <c r="A136" s="453"/>
    </row>
    <row r="137" spans="1:1">
      <c r="A137" s="453"/>
    </row>
    <row r="138" spans="1:1">
      <c r="A138" s="453"/>
    </row>
    <row r="139" spans="1:1">
      <c r="A139" s="453"/>
    </row>
    <row r="140" spans="1:1">
      <c r="A140" s="453"/>
    </row>
    <row r="141" spans="1:1">
      <c r="A141" s="453"/>
    </row>
    <row r="142" spans="1:1">
      <c r="A142" s="453"/>
    </row>
    <row r="143" spans="1:1">
      <c r="A143" s="453"/>
    </row>
    <row r="144" spans="1:1">
      <c r="A144" s="453"/>
    </row>
    <row r="145" spans="1:1">
      <c r="A145" s="453"/>
    </row>
    <row r="146" spans="1:1">
      <c r="A146" s="453"/>
    </row>
    <row r="147" spans="1:1">
      <c r="A147" s="453"/>
    </row>
    <row r="148" spans="1:1">
      <c r="A148" s="453"/>
    </row>
    <row r="149" spans="1:1">
      <c r="A149" s="453"/>
    </row>
    <row r="150" spans="1:1">
      <c r="A150" s="453"/>
    </row>
    <row r="151" spans="1:1">
      <c r="A151" s="453"/>
    </row>
    <row r="152" spans="1:1">
      <c r="A152" s="453"/>
    </row>
    <row r="153" spans="1:1">
      <c r="A153" s="453"/>
    </row>
    <row r="154" spans="1:1">
      <c r="A154" s="453"/>
    </row>
    <row r="155" spans="1:1">
      <c r="A155" s="453"/>
    </row>
    <row r="156" spans="1:1">
      <c r="A156" s="453"/>
    </row>
    <row r="157" spans="1:1">
      <c r="A157" s="453"/>
    </row>
    <row r="158" spans="1:1">
      <c r="A158" s="453"/>
    </row>
    <row r="159" spans="1:1">
      <c r="A159" s="453"/>
    </row>
    <row r="160" spans="1:1">
      <c r="A160" s="453"/>
    </row>
    <row r="161" spans="1:1">
      <c r="A161" s="453"/>
    </row>
    <row r="162" spans="1:1">
      <c r="A162" s="453"/>
    </row>
    <row r="163" spans="1:1">
      <c r="A163" s="453"/>
    </row>
    <row r="164" spans="1:1">
      <c r="A164" s="453"/>
    </row>
    <row r="165" spans="1:1">
      <c r="A165" s="453"/>
    </row>
    <row r="166" spans="1:1">
      <c r="A166" s="453"/>
    </row>
    <row r="167" spans="1:1">
      <c r="A167" s="453"/>
    </row>
    <row r="168" spans="1:1">
      <c r="A168" s="453"/>
    </row>
    <row r="169" spans="1:1">
      <c r="A169" s="453"/>
    </row>
    <row r="170" spans="1:1">
      <c r="A170" s="453"/>
    </row>
    <row r="171" spans="1:1">
      <c r="A171" s="453"/>
    </row>
    <row r="172" spans="1:1">
      <c r="A172" s="453"/>
    </row>
    <row r="173" spans="1:1">
      <c r="A173" s="453"/>
    </row>
    <row r="174" spans="1:1">
      <c r="A174" s="453"/>
    </row>
    <row r="175" spans="1:1">
      <c r="A175" s="453"/>
    </row>
    <row r="176" spans="1:1">
      <c r="A176" s="453"/>
    </row>
    <row r="177" spans="1:1">
      <c r="A177" s="453"/>
    </row>
    <row r="178" spans="1:1">
      <c r="A178" s="453"/>
    </row>
    <row r="179" spans="1:1">
      <c r="A179" s="453"/>
    </row>
    <row r="180" spans="1:1">
      <c r="A180" s="453"/>
    </row>
    <row r="181" spans="1:1">
      <c r="A181" s="453"/>
    </row>
    <row r="182" spans="1:1">
      <c r="A182" s="453"/>
    </row>
    <row r="183" spans="1:1">
      <c r="A183" s="453"/>
    </row>
    <row r="184" spans="1:1">
      <c r="A184" s="453"/>
    </row>
  </sheetData>
  <mergeCells count="14">
    <mergeCell ref="K12:Q14"/>
    <mergeCell ref="C18:F18"/>
    <mergeCell ref="H18:J18"/>
    <mergeCell ref="A2:J2"/>
    <mergeCell ref="B4:B5"/>
    <mergeCell ref="C4:C5"/>
    <mergeCell ref="D4:D5"/>
    <mergeCell ref="A3:J3"/>
    <mergeCell ref="F4:F5"/>
    <mergeCell ref="G4:J4"/>
    <mergeCell ref="E4:E5"/>
    <mergeCell ref="A4:A5"/>
    <mergeCell ref="C17:F17"/>
    <mergeCell ref="H17:J17"/>
  </mergeCells>
  <phoneticPr fontId="0" type="noConversion"/>
  <pageMargins left="1.1811023622047245" right="0.39370078740157483" top="0.78740157480314965" bottom="0.78740157480314965" header="0.39370078740157483" footer="0.31496062992125984"/>
  <pageSetup paperSize="9" scale="60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"/>
  <sheetViews>
    <sheetView view="pageBreakPreview" zoomScale="75" zoomScaleNormal="75" zoomScaleSheetLayoutView="75" workbookViewId="0">
      <selection activeCell="B32" sqref="B32"/>
    </sheetView>
  </sheetViews>
  <sheetFormatPr defaultColWidth="9.140625" defaultRowHeight="12.75"/>
  <cols>
    <col min="1" max="1" width="94.28515625" style="19" customWidth="1"/>
    <col min="2" max="2" width="16.5703125" style="19" customWidth="1"/>
    <col min="3" max="3" width="26.7109375" style="19" customWidth="1"/>
    <col min="4" max="4" width="18.7109375" style="19" customWidth="1"/>
    <col min="5" max="5" width="18.140625" style="19" customWidth="1"/>
    <col min="6" max="6" width="16.5703125" style="19" customWidth="1"/>
    <col min="7" max="7" width="18.7109375" style="19" customWidth="1"/>
    <col min="8" max="8" width="68.7109375" style="19" customWidth="1"/>
    <col min="9" max="9" width="9.5703125" style="19" customWidth="1"/>
    <col min="10" max="16384" width="9.140625" style="19"/>
  </cols>
  <sheetData>
    <row r="1" spans="1:8" ht="24.75" customHeight="1">
      <c r="A1" s="181" t="s">
        <v>622</v>
      </c>
      <c r="H1" s="77" t="s">
        <v>403</v>
      </c>
    </row>
    <row r="2" spans="1:8" ht="25.5" customHeight="1">
      <c r="A2" s="563" t="s">
        <v>160</v>
      </c>
      <c r="B2" s="563"/>
      <c r="C2" s="563"/>
      <c r="D2" s="563"/>
      <c r="E2" s="563"/>
      <c r="F2" s="563"/>
      <c r="G2" s="563"/>
      <c r="H2" s="563"/>
    </row>
    <row r="3" spans="1:8" ht="16.5" customHeight="1"/>
    <row r="4" spans="1:8" ht="45" customHeight="1">
      <c r="A4" s="566" t="s">
        <v>179</v>
      </c>
      <c r="B4" s="564" t="s">
        <v>0</v>
      </c>
      <c r="C4" s="564" t="s">
        <v>90</v>
      </c>
      <c r="D4" s="568" t="s">
        <v>509</v>
      </c>
      <c r="E4" s="568" t="s">
        <v>516</v>
      </c>
      <c r="F4" s="483" t="s">
        <v>511</v>
      </c>
      <c r="G4" s="568" t="s">
        <v>512</v>
      </c>
      <c r="H4" s="564" t="s">
        <v>91</v>
      </c>
    </row>
    <row r="5" spans="1:8" ht="52.5" customHeight="1">
      <c r="A5" s="567"/>
      <c r="B5" s="565"/>
      <c r="C5" s="565"/>
      <c r="D5" s="569"/>
      <c r="E5" s="569"/>
      <c r="F5" s="484"/>
      <c r="G5" s="569"/>
      <c r="H5" s="565"/>
    </row>
    <row r="6" spans="1:8" s="44" customFormat="1" ht="18" customHeight="1">
      <c r="A6" s="25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  <c r="H6" s="133">
        <v>8</v>
      </c>
    </row>
    <row r="7" spans="1:8" s="44" customFormat="1" ht="20.100000000000001" customHeight="1">
      <c r="A7" s="43" t="s">
        <v>138</v>
      </c>
      <c r="B7" s="134"/>
      <c r="C7" s="133"/>
      <c r="D7" s="133"/>
      <c r="E7" s="133"/>
      <c r="F7" s="133"/>
      <c r="G7" s="133"/>
      <c r="H7" s="133"/>
    </row>
    <row r="8" spans="1:8" ht="56.25">
      <c r="A8" s="8" t="s">
        <v>358</v>
      </c>
      <c r="B8" s="89">
        <v>5000</v>
      </c>
      <c r="C8" s="135" t="s">
        <v>207</v>
      </c>
      <c r="D8" s="230" t="e">
        <f>('Осн. фін. пок.'!C54/'Осн. фін. пок.'!C52)*100</f>
        <v>#DIV/0!</v>
      </c>
      <c r="E8" s="231" t="e">
        <f>('Осн. фін. пок.'!D54/'Осн. фін. пок.'!D52)*100</f>
        <v>#DIV/0!</v>
      </c>
      <c r="F8" s="231" t="e">
        <f>('Осн. фін. пок.'!E54/'Осн. фін. пок.'!E52)*100</f>
        <v>#DIV/0!</v>
      </c>
      <c r="G8" s="231">
        <f>('Осн. фін. пок.'!F54/'Осн. фін. пок.'!F52)*100</f>
        <v>-12033.756345177668</v>
      </c>
      <c r="H8" s="136"/>
    </row>
    <row r="9" spans="1:8" ht="56.25">
      <c r="A9" s="8" t="s">
        <v>359</v>
      </c>
      <c r="B9" s="89">
        <v>5010</v>
      </c>
      <c r="C9" s="135" t="s">
        <v>207</v>
      </c>
      <c r="D9" s="230" t="e">
        <f>('Осн. фін. пок.'!C60/'Осн. фін. пок.'!C52)*100</f>
        <v>#DIV/0!</v>
      </c>
      <c r="E9" s="231" t="e">
        <f>('Осн. фін. пок.'!D60/'Осн. фін. пок.'!D52)*100</f>
        <v>#DIV/0!</v>
      </c>
      <c r="F9" s="231" t="e">
        <f>('Осн. фін. пок.'!E60/'Осн. фін. пок.'!E52)*100</f>
        <v>#DIV/0!</v>
      </c>
      <c r="G9" s="231">
        <f>('Осн. фін. пок.'!F60/'Осн. фін. пок.'!F52)*100</f>
        <v>1.9236351560341125E-13</v>
      </c>
      <c r="H9" s="136"/>
    </row>
    <row r="10" spans="1:8" ht="42.75" customHeight="1">
      <c r="A10" s="58" t="s">
        <v>361</v>
      </c>
      <c r="B10" s="89">
        <v>5020</v>
      </c>
      <c r="C10" s="135" t="s">
        <v>207</v>
      </c>
      <c r="D10" s="230" t="e">
        <f>('Осн. фін. пок.'!C73/'Осн. фін. пок.'!C115)*100</f>
        <v>#DIV/0!</v>
      </c>
      <c r="E10" s="231" t="e">
        <f>('Осн. фін. пок.'!D73/'Осн. фін. пок.'!D115)*100</f>
        <v>#DIV/0!</v>
      </c>
      <c r="F10" s="231" t="e">
        <f>('Осн. фін. пок.'!E73/'Осн. фін. пок.'!E115)*100</f>
        <v>#DIV/0!</v>
      </c>
      <c r="G10" s="231">
        <f>('Осн. фін. пок.'!F73/'Осн. фін. пок.'!F115)*100</f>
        <v>0</v>
      </c>
      <c r="H10" s="136" t="s">
        <v>208</v>
      </c>
    </row>
    <row r="11" spans="1:8" ht="42.75" customHeight="1">
      <c r="A11" s="58" t="s">
        <v>498</v>
      </c>
      <c r="B11" s="89">
        <v>5030</v>
      </c>
      <c r="C11" s="135" t="s">
        <v>207</v>
      </c>
      <c r="D11" s="230" t="e">
        <f>('Осн. фін. пок.'!C73/'Осн. фін. пок.'!C116)*100</f>
        <v>#DIV/0!</v>
      </c>
      <c r="E11" s="231" t="e">
        <f>('Осн. фін. пок.'!D73/'Осн. фін. пок.'!D116)*100</f>
        <v>#DIV/0!</v>
      </c>
      <c r="F11" s="231" t="e">
        <f>('Осн. фін. пок.'!E73/'Осн. фін. пок.'!E116)*100</f>
        <v>#DIV/0!</v>
      </c>
      <c r="G11" s="231">
        <f>('Осн. фін. пок.'!F73/'Осн. фін. пок.'!F116)*100</f>
        <v>0</v>
      </c>
      <c r="H11" s="136"/>
    </row>
    <row r="12" spans="1:8" ht="56.25">
      <c r="A12" s="58" t="s">
        <v>360</v>
      </c>
      <c r="B12" s="89">
        <v>5040</v>
      </c>
      <c r="C12" s="135" t="s">
        <v>207</v>
      </c>
      <c r="D12" s="230" t="e">
        <f>('Осн. фін. пок.'!C73/'Осн. фін. пок.'!C52)*100</f>
        <v>#DIV/0!</v>
      </c>
      <c r="E12" s="231" t="e">
        <f>('Осн. фін. пок.'!D73/'Осн. фін. пок.'!D52)*100</f>
        <v>#DIV/0!</v>
      </c>
      <c r="F12" s="231" t="e">
        <f>('Осн. фін. пок.'!E73/'Осн. фін. пок.'!E52)*100</f>
        <v>#DIV/0!</v>
      </c>
      <c r="G12" s="231">
        <f>('Осн. фін. пок.'!F73/'Осн. фін. пок.'!F52)*100</f>
        <v>0</v>
      </c>
      <c r="H12" s="136" t="s">
        <v>209</v>
      </c>
    </row>
    <row r="13" spans="1:8" ht="20.100000000000001" customHeight="1">
      <c r="A13" s="43" t="s">
        <v>140</v>
      </c>
      <c r="B13" s="89"/>
      <c r="C13" s="137"/>
      <c r="D13" s="230"/>
      <c r="E13" s="231"/>
      <c r="F13" s="231"/>
      <c r="G13" s="231"/>
      <c r="H13" s="136"/>
    </row>
    <row r="14" spans="1:8" ht="56.25">
      <c r="A14" s="55" t="s">
        <v>499</v>
      </c>
      <c r="B14" s="89">
        <v>5100</v>
      </c>
      <c r="C14" s="135"/>
      <c r="D14" s="230" t="e">
        <f>('Осн. фін. пок.'!C117+'Осн. фін. пок.'!C118)/'Осн. фін. пок.'!C60</f>
        <v>#DIV/0!</v>
      </c>
      <c r="E14" s="230" t="e">
        <f>('Осн. фін. пок.'!D117+'Осн. фін. пок.'!D118)/'Осн. фін. пок.'!D60</f>
        <v>#DIV/0!</v>
      </c>
      <c r="F14" s="230" t="e">
        <f>('Осн. фін. пок.'!E117+'Осн. фін. пок.'!E118)/'Осн. фін. пок.'!E60</f>
        <v>#DIV/0!</v>
      </c>
      <c r="G14" s="232">
        <f>('Осн. фін. пок.'!F117+'Осн. фін. пок.'!F118)/'Осн. фін. пок.'!F60</f>
        <v>0</v>
      </c>
      <c r="H14" s="136"/>
    </row>
    <row r="15" spans="1:8" s="44" customFormat="1" ht="56.25">
      <c r="A15" s="55" t="s">
        <v>500</v>
      </c>
      <c r="B15" s="89">
        <v>5110</v>
      </c>
      <c r="C15" s="135" t="s">
        <v>135</v>
      </c>
      <c r="D15" s="230" t="e">
        <f>'Осн. фін. пок.'!C116/('Осн. фін. пок.'!C117+'Осн. фін. пок.'!C118)</f>
        <v>#DIV/0!</v>
      </c>
      <c r="E15" s="230" t="e">
        <f>'Осн. фін. пок.'!D116/('Осн. фін. пок.'!D117+'Осн. фін. пок.'!D118)</f>
        <v>#DIV/0!</v>
      </c>
      <c r="F15" s="231" t="e">
        <f>'Осн. фін. пок.'!E116/('Осн. фін. пок.'!E117+'Осн. фін. пок.'!E118)</f>
        <v>#DIV/0!</v>
      </c>
      <c r="G15" s="230" t="e">
        <f>'Осн. фін. пок.'!F116/('Осн. фін. пок.'!F117+'Осн. фін. пок.'!F118)</f>
        <v>#DIV/0!</v>
      </c>
      <c r="H15" s="136" t="s">
        <v>210</v>
      </c>
    </row>
    <row r="16" spans="1:8" s="44" customFormat="1" ht="75">
      <c r="A16" s="55" t="s">
        <v>501</v>
      </c>
      <c r="B16" s="89">
        <v>5120</v>
      </c>
      <c r="C16" s="135" t="s">
        <v>135</v>
      </c>
      <c r="D16" s="230" t="e">
        <f>'Осн. фін. пок.'!C113/'Осн. фін. пок.'!C118</f>
        <v>#DIV/0!</v>
      </c>
      <c r="E16" s="230" t="e">
        <f>'Осн. фін. пок.'!D113/'Осн. фін. пок.'!D118</f>
        <v>#DIV/0!</v>
      </c>
      <c r="F16" s="231" t="e">
        <f>'Осн. фін. пок.'!E113/'Осн. фін. пок.'!E118</f>
        <v>#DIV/0!</v>
      </c>
      <c r="G16" s="230" t="e">
        <f>'Осн. фін. пок.'!F113/'Осн. фін. пок.'!F118</f>
        <v>#DIV/0!</v>
      </c>
      <c r="H16" s="136" t="s">
        <v>212</v>
      </c>
    </row>
    <row r="17" spans="1:10" ht="20.100000000000001" customHeight="1">
      <c r="A17" s="43" t="s">
        <v>139</v>
      </c>
      <c r="B17" s="89"/>
      <c r="C17" s="135"/>
      <c r="D17" s="230"/>
      <c r="E17" s="231"/>
      <c r="F17" s="231"/>
      <c r="G17" s="231"/>
      <c r="H17" s="136"/>
    </row>
    <row r="18" spans="1:10" ht="42.75" customHeight="1">
      <c r="A18" s="55" t="s">
        <v>350</v>
      </c>
      <c r="B18" s="89">
        <v>5200</v>
      </c>
      <c r="C18" s="135"/>
      <c r="D18" s="230" t="e">
        <f>'IV. Кап. інвестиції'!C7/'I. Фін результат'!C97</f>
        <v>#DIV/0!</v>
      </c>
      <c r="E18" s="231" t="e">
        <f>'IV. Кап. інвестиції'!D7/'I. Фін результат'!D97</f>
        <v>#DIV/0!</v>
      </c>
      <c r="F18" s="231" t="e">
        <f>'IV. Кап. інвестиції'!E7/'I. Фін результат'!E97</f>
        <v>#DIV/0!</v>
      </c>
      <c r="G18" s="231">
        <f>'IV. Кап. інвестиції'!F7/'I. Фін результат'!F97</f>
        <v>17.398179059180578</v>
      </c>
      <c r="H18" s="136"/>
    </row>
    <row r="19" spans="1:10" ht="75">
      <c r="A19" s="55" t="s">
        <v>351</v>
      </c>
      <c r="B19" s="89">
        <v>5210</v>
      </c>
      <c r="C19" s="135"/>
      <c r="D19" s="230" t="e">
        <f>'Осн. фін. пок.'!C101/'Осн. фін. пок.'!C52</f>
        <v>#DIV/0!</v>
      </c>
      <c r="E19" s="231" t="e">
        <f>'Осн. фін. пок.'!D101/'Осн. фін. пок.'!D52</f>
        <v>#DIV/0!</v>
      </c>
      <c r="F19" s="231" t="e">
        <f>'Осн. фін. пок.'!E101/'Осн. фін. пок.'!E52</f>
        <v>#DIV/0!</v>
      </c>
      <c r="G19" s="231">
        <f>'Осн. фін. пок.'!F101/'Осн. фін. пок.'!F52</f>
        <v>24.250000000000007</v>
      </c>
      <c r="H19" s="136"/>
    </row>
    <row r="20" spans="1:10" ht="42.75" customHeight="1">
      <c r="A20" s="55" t="s">
        <v>352</v>
      </c>
      <c r="B20" s="89">
        <v>5220</v>
      </c>
      <c r="C20" s="135" t="s">
        <v>297</v>
      </c>
      <c r="D20" s="230" t="e">
        <f>'Осн. фін. пок.'!C112/'Осн. фін. пок.'!C111</f>
        <v>#DIV/0!</v>
      </c>
      <c r="E20" s="231" t="e">
        <f>'Осн. фін. пок.'!D112/'Осн. фін. пок.'!D111</f>
        <v>#DIV/0!</v>
      </c>
      <c r="F20" s="231" t="e">
        <f>'Осн. фін. пок.'!E112/'Осн. фін. пок.'!E111</f>
        <v>#DIV/0!</v>
      </c>
      <c r="G20" s="231">
        <f>'Осн. фін. пок.'!F112/'Осн. фін. пок.'!F111</f>
        <v>0.61062811039058962</v>
      </c>
      <c r="H20" s="136" t="s">
        <v>211</v>
      </c>
    </row>
    <row r="21" spans="1:10" ht="20.100000000000001" customHeight="1">
      <c r="A21" s="43" t="s">
        <v>185</v>
      </c>
      <c r="B21" s="89"/>
      <c r="C21" s="135"/>
      <c r="D21" s="230"/>
      <c r="E21" s="231"/>
      <c r="F21" s="231"/>
      <c r="G21" s="231"/>
      <c r="H21" s="136"/>
    </row>
    <row r="22" spans="1:10" ht="75">
      <c r="A22" s="58" t="s">
        <v>218</v>
      </c>
      <c r="B22" s="89">
        <v>5300</v>
      </c>
      <c r="C22" s="135"/>
      <c r="D22" s="230"/>
      <c r="E22" s="231"/>
      <c r="F22" s="231"/>
      <c r="G22" s="231"/>
      <c r="H22" s="136"/>
    </row>
    <row r="23" spans="1:10" ht="20.100000000000001" customHeight="1">
      <c r="B23" s="138"/>
      <c r="C23" s="138"/>
      <c r="D23" s="138"/>
      <c r="E23" s="138"/>
      <c r="F23" s="138"/>
      <c r="G23" s="138"/>
      <c r="H23" s="138"/>
    </row>
    <row r="24" spans="1:10" s="3" customFormat="1" ht="46.5" customHeight="1">
      <c r="A24" s="185" t="s">
        <v>736</v>
      </c>
      <c r="B24" s="109"/>
      <c r="C24" s="543" t="s">
        <v>171</v>
      </c>
      <c r="D24" s="543"/>
      <c r="E24" s="543"/>
      <c r="F24" s="543"/>
      <c r="G24" s="110"/>
      <c r="H24" s="545" t="s">
        <v>617</v>
      </c>
      <c r="I24" s="545"/>
      <c r="J24" s="545"/>
    </row>
    <row r="25" spans="1:10" s="2" customFormat="1" ht="20.100000000000001" customHeight="1">
      <c r="A25" s="183" t="s">
        <v>73</v>
      </c>
      <c r="B25" s="26"/>
      <c r="C25" s="3"/>
      <c r="D25" s="464" t="s">
        <v>74</v>
      </c>
      <c r="E25" s="464"/>
      <c r="F25" s="464"/>
      <c r="G25" s="464"/>
      <c r="H25" s="4" t="s">
        <v>176</v>
      </c>
      <c r="I25" s="41"/>
      <c r="J25" s="41"/>
    </row>
  </sheetData>
  <mergeCells count="12">
    <mergeCell ref="A2:H2"/>
    <mergeCell ref="H4:H5"/>
    <mergeCell ref="D25:G25"/>
    <mergeCell ref="A4:A5"/>
    <mergeCell ref="B4:B5"/>
    <mergeCell ref="C4:C5"/>
    <mergeCell ref="D4:D5"/>
    <mergeCell ref="E4:E5"/>
    <mergeCell ref="F4:F5"/>
    <mergeCell ref="G4:G5"/>
    <mergeCell ref="C24:F24"/>
    <mergeCell ref="H24:J24"/>
  </mergeCells>
  <phoneticPr fontId="3" type="noConversion"/>
  <pageMargins left="0.59055118110236227" right="0.39370078740157483" top="0.59055118110236227" bottom="0.59055118110236227" header="0.47244094488188981" footer="0.31496062992125984"/>
  <pageSetup paperSize="9" scale="48" orientation="landscape" r:id="rId1"/>
  <headerFooter alignWithMargins="0"/>
  <ignoredErrors>
    <ignoredError sqref="E20:G20 G18:G19 E16:G16 G14 G12 E10:G10 G8:G9 D8:D10 G17 E8:F9 E17:F19 G13 E12:F14 D16:D20 D12:D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17</vt:i4>
      </vt:variant>
    </vt:vector>
  </HeadingPairs>
  <TitlesOfParts>
    <vt:vector size="29" baseType="lpstr">
      <vt:lpstr>Осн. фін. пок.</vt:lpstr>
      <vt:lpstr>I. Фін результат</vt:lpstr>
      <vt:lpstr>Розшифровка 1</vt:lpstr>
      <vt:lpstr>Розшифровка 2</vt:lpstr>
      <vt:lpstr>ІІ. Розр. з бюджетом</vt:lpstr>
      <vt:lpstr>ІІІ. Рух грош. коштів</vt:lpstr>
      <vt:lpstr>Розшифровка №3</vt:lpstr>
      <vt:lpstr>IV. Кап. інвестиції</vt:lpstr>
      <vt:lpstr> V. Коефіцієнти</vt:lpstr>
      <vt:lpstr>6.1. Інша інфо_1</vt:lpstr>
      <vt:lpstr>6.2. Інша інфо_2</vt:lpstr>
      <vt:lpstr>VII Статутн капіт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1'!Область_печати</vt:lpstr>
      <vt:lpstr>'Розшифровка 2'!Область_печати</vt:lpstr>
      <vt:lpstr>'Розшифровка №3'!Область_печати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2019-12-22T13:25:25Z</cp:lastPrinted>
  <dcterms:created xsi:type="dcterms:W3CDTF">2003-03-13T16:00:22Z</dcterms:created>
  <dcterms:modified xsi:type="dcterms:W3CDTF">2022-10-14T11:41:01Z</dcterms:modified>
</cp:coreProperties>
</file>